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drawings/drawing2.xml" ContentType="application/vnd.openxmlformats-officedocument.drawing+xml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embeddings/oleObject60.bin" ContentType="application/vnd.openxmlformats-officedocument.oleObject"/>
  <Override PartName="/xl/embeddings/oleObject61.bin" ContentType="application/vnd.openxmlformats-officedocument.oleObject"/>
  <Override PartName="/xl/embeddings/oleObject62.bin" ContentType="application/vnd.openxmlformats-officedocument.oleObject"/>
  <Override PartName="/xl/embeddings/oleObject63.bin" ContentType="application/vnd.openxmlformats-officedocument.oleObject"/>
  <Override PartName="/xl/embeddings/oleObject64.bin" ContentType="application/vnd.openxmlformats-officedocument.oleObject"/>
  <Override PartName="/xl/embeddings/oleObject65.bin" ContentType="application/vnd.openxmlformats-officedocument.oleObject"/>
  <Override PartName="/xl/embeddings/oleObject66.bin" ContentType="application/vnd.openxmlformats-officedocument.oleObject"/>
  <Override PartName="/xl/embeddings/oleObject67.bin" ContentType="application/vnd.openxmlformats-officedocument.oleObject"/>
  <Override PartName="/xl/embeddings/oleObject68.bin" ContentType="application/vnd.openxmlformats-officedocument.oleObject"/>
  <Override PartName="/xl/embeddings/oleObject69.bin" ContentType="application/vnd.openxmlformats-officedocument.oleObject"/>
  <Override PartName="/xl/embeddings/oleObject70.bin" ContentType="application/vnd.openxmlformats-officedocument.oleObject"/>
  <Override PartName="/xl/embeddings/oleObject71.bin" ContentType="application/vnd.openxmlformats-officedocument.oleObject"/>
  <Override PartName="/xl/embeddings/oleObject72.bin" ContentType="application/vnd.openxmlformats-officedocument.oleObject"/>
  <Override PartName="/xl/embeddings/oleObject73.bin" ContentType="application/vnd.openxmlformats-officedocument.oleObject"/>
  <Override PartName="/xl/embeddings/oleObject74.bin" ContentType="application/vnd.openxmlformats-officedocument.oleObject"/>
  <Override PartName="/xl/embeddings/oleObject75.bin" ContentType="application/vnd.openxmlformats-officedocument.oleObject"/>
  <Override PartName="/xl/embeddings/oleObject76.bin" ContentType="application/vnd.openxmlformats-officedocument.oleObject"/>
  <Override PartName="/xl/embeddings/oleObject77.bin" ContentType="application/vnd.openxmlformats-officedocument.oleObject"/>
  <Override PartName="/xl/embeddings/oleObject78.bin" ContentType="application/vnd.openxmlformats-officedocument.oleObject"/>
  <Override PartName="/xl/embeddings/oleObject79.bin" ContentType="application/vnd.openxmlformats-officedocument.oleObject"/>
  <Override PartName="/xl/embeddings/oleObject80.bin" ContentType="application/vnd.openxmlformats-officedocument.oleObject"/>
  <Override PartName="/xl/embeddings/oleObject81.bin" ContentType="application/vnd.openxmlformats-officedocument.oleObject"/>
  <Override PartName="/xl/embeddings/oleObject82.bin" ContentType="application/vnd.openxmlformats-officedocument.oleObject"/>
  <Override PartName="/xl/embeddings/oleObject83.bin" ContentType="application/vnd.openxmlformats-officedocument.oleObject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embeddings/oleObject84.bin" ContentType="application/vnd.openxmlformats-officedocument.oleObject"/>
  <Override PartName="/xl/embeddings/oleObject85.bin" ContentType="application/vnd.openxmlformats-officedocument.oleObject"/>
  <Override PartName="/xl/embeddings/oleObject86.bin" ContentType="application/vnd.openxmlformats-officedocument.oleObject"/>
  <Override PartName="/xl/embeddings/oleObject87.bin" ContentType="application/vnd.openxmlformats-officedocument.oleObject"/>
  <Override PartName="/xl/embeddings/oleObject88.bin" ContentType="application/vnd.openxmlformats-officedocument.oleObject"/>
  <Override PartName="/xl/embeddings/oleObject89.bin" ContentType="application/vnd.openxmlformats-officedocument.oleObject"/>
  <Override PartName="/xl/embeddings/oleObject90.bin" ContentType="application/vnd.openxmlformats-officedocument.oleObject"/>
  <Override PartName="/xl/embeddings/oleObject91.bin" ContentType="application/vnd.openxmlformats-officedocument.oleObject"/>
  <Override PartName="/xl/embeddings/oleObject92.bin" ContentType="application/vnd.openxmlformats-officedocument.oleObject"/>
  <Override PartName="/xl/embeddings/oleObject93.bin" ContentType="application/vnd.openxmlformats-officedocument.oleObject"/>
  <Override PartName="/xl/embeddings/oleObject94.bin" ContentType="application/vnd.openxmlformats-officedocument.oleObject"/>
  <Override PartName="/xl/embeddings/oleObject95.bin" ContentType="application/vnd.openxmlformats-officedocument.oleObject"/>
  <Override PartName="/xl/embeddings/oleObject96.bin" ContentType="application/vnd.openxmlformats-officedocument.oleObject"/>
  <Override PartName="/xl/embeddings/oleObject97.bin" ContentType="application/vnd.openxmlformats-officedocument.oleObject"/>
  <Override PartName="/xl/embeddings/oleObject98.bin" ContentType="application/vnd.openxmlformats-officedocument.oleObject"/>
  <Override PartName="/xl/embeddings/oleObject99.bin" ContentType="application/vnd.openxmlformats-officedocument.oleObject"/>
  <Override PartName="/xl/embeddings/oleObject100.bin" ContentType="application/vnd.openxmlformats-officedocument.oleObject"/>
  <Override PartName="/xl/embeddings/oleObject101.bin" ContentType="application/vnd.openxmlformats-officedocument.oleObject"/>
  <Override PartName="/xl/embeddings/oleObject102.bin" ContentType="application/vnd.openxmlformats-officedocument.oleObject"/>
  <Override PartName="/xl/embeddings/oleObject103.bin" ContentType="application/vnd.openxmlformats-officedocument.oleObject"/>
  <Override PartName="/xl/embeddings/oleObject104.bin" ContentType="application/vnd.openxmlformats-officedocument.oleObject"/>
  <Override PartName="/xl/embeddings/oleObject105.bin" ContentType="application/vnd.openxmlformats-officedocument.oleObject"/>
  <Override PartName="/xl/embeddings/oleObject106.bin" ContentType="application/vnd.openxmlformats-officedocument.oleObject"/>
  <Override PartName="/xl/embeddings/oleObject107.bin" ContentType="application/vnd.openxmlformats-officedocument.oleObject"/>
  <Override PartName="/xl/embeddings/oleObject108.bin" ContentType="application/vnd.openxmlformats-officedocument.oleObject"/>
  <Override PartName="/xl/embeddings/oleObject109.bin" ContentType="application/vnd.openxmlformats-officedocument.oleObject"/>
  <Override PartName="/xl/embeddings/oleObject110.bin" ContentType="application/vnd.openxmlformats-officedocument.oleObject"/>
  <Override PartName="/xl/embeddings/oleObject111.bin" ContentType="application/vnd.openxmlformats-officedocument.oleObject"/>
  <Override PartName="/xl/embeddings/oleObject112.bin" ContentType="application/vnd.openxmlformats-officedocument.oleObject"/>
  <Override PartName="/xl/embeddings/oleObject113.bin" ContentType="application/vnd.openxmlformats-officedocument.oleObject"/>
  <Override PartName="/xl/embeddings/oleObject114.bin" ContentType="application/vnd.openxmlformats-officedocument.oleObject"/>
  <Override PartName="/xl/embeddings/oleObject115.bin" ContentType="application/vnd.openxmlformats-officedocument.oleObject"/>
  <Override PartName="/xl/embeddings/oleObject116.bin" ContentType="application/vnd.openxmlformats-officedocument.oleObject"/>
  <Override PartName="/xl/embeddings/oleObject117.bin" ContentType="application/vnd.openxmlformats-officedocument.oleObject"/>
  <Override PartName="/xl/embeddings/oleObject118.bin" ContentType="application/vnd.openxmlformats-officedocument.oleObject"/>
  <Override PartName="/xl/embeddings/oleObject119.bin" ContentType="application/vnd.openxmlformats-officedocument.oleObject"/>
  <Override PartName="/xl/embeddings/oleObject120.bin" ContentType="application/vnd.openxmlformats-officedocument.oleObject"/>
  <Override PartName="/xl/embeddings/oleObject121.bin" ContentType="application/vnd.openxmlformats-officedocument.oleObject"/>
  <Override PartName="/xl/embeddings/oleObject122.bin" ContentType="application/vnd.openxmlformats-officedocument.oleObject"/>
  <Override PartName="/xl/embeddings/oleObject123.bin" ContentType="application/vnd.openxmlformats-officedocument.oleObject"/>
  <Override PartName="/xl/embeddings/oleObject124.bin" ContentType="application/vnd.openxmlformats-officedocument.oleObject"/>
  <Override PartName="/xl/embeddings/oleObject125.bin" ContentType="application/vnd.openxmlformats-officedocument.oleObject"/>
  <Override PartName="/xl/drawings/drawing4.xml" ContentType="application/vnd.openxmlformats-officedocument.drawing+xml"/>
  <Override PartName="/xl/embeddings/oleObject126.bin" ContentType="application/vnd.openxmlformats-officedocument.oleObject"/>
  <Override PartName="/xl/embeddings/oleObject127.bin" ContentType="application/vnd.openxmlformats-officedocument.oleObject"/>
  <Override PartName="/xl/embeddings/oleObject128.bin" ContentType="application/vnd.openxmlformats-officedocument.oleObject"/>
  <Override PartName="/xl/embeddings/oleObject129.bin" ContentType="application/vnd.openxmlformats-officedocument.oleObject"/>
  <Override PartName="/xl/embeddings/oleObject130.bin" ContentType="application/vnd.openxmlformats-officedocument.oleObject"/>
  <Override PartName="/xl/embeddings/oleObject131.bin" ContentType="application/vnd.openxmlformats-officedocument.oleObject"/>
  <Override PartName="/xl/embeddings/oleObject132.bin" ContentType="application/vnd.openxmlformats-officedocument.oleObject"/>
  <Override PartName="/xl/embeddings/oleObject133.bin" ContentType="application/vnd.openxmlformats-officedocument.oleObject"/>
  <Override PartName="/xl/embeddings/oleObject134.bin" ContentType="application/vnd.openxmlformats-officedocument.oleObject"/>
  <Override PartName="/xl/embeddings/oleObject135.bin" ContentType="application/vnd.openxmlformats-officedocument.oleObject"/>
  <Override PartName="/xl/embeddings/oleObject136.bin" ContentType="application/vnd.openxmlformats-officedocument.oleObject"/>
  <Override PartName="/xl/embeddings/oleObject137.bin" ContentType="application/vnd.openxmlformats-officedocument.oleObject"/>
  <Override PartName="/xl/embeddings/oleObject138.bin" ContentType="application/vnd.openxmlformats-officedocument.oleObject"/>
  <Override PartName="/xl/embeddings/oleObject139.bin" ContentType="application/vnd.openxmlformats-officedocument.oleObject"/>
  <Override PartName="/xl/embeddings/oleObject140.bin" ContentType="application/vnd.openxmlformats-officedocument.oleObject"/>
  <Override PartName="/xl/embeddings/oleObject141.bin" ContentType="application/vnd.openxmlformats-officedocument.oleObject"/>
  <Override PartName="/xl/embeddings/oleObject142.bin" ContentType="application/vnd.openxmlformats-officedocument.oleObject"/>
  <Override PartName="/xl/embeddings/oleObject143.bin" ContentType="application/vnd.openxmlformats-officedocument.oleObject"/>
  <Override PartName="/xl/embeddings/oleObject144.bin" ContentType="application/vnd.openxmlformats-officedocument.oleObject"/>
  <Override PartName="/xl/embeddings/oleObject145.bin" ContentType="application/vnd.openxmlformats-officedocument.oleObject"/>
  <Override PartName="/xl/embeddings/oleObject146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aragon\www\traxel\public\excel\"/>
    </mc:Choice>
  </mc:AlternateContent>
  <xr:revisionPtr revIDLastSave="0" documentId="13_ncr:1_{12289413-B65F-4D5E-85D0-43FDCDEE9945}" xr6:coauthVersionLast="45" xr6:coauthVersionMax="45" xr10:uidLastSave="{00000000-0000-0000-0000-000000000000}"/>
  <bookViews>
    <workbookView xWindow="-110" yWindow="-110" windowWidth="19420" windowHeight="10300" firstSheet="3" activeTab="8" xr2:uid="{00000000-000D-0000-FFFF-FFFF00000000}"/>
  </bookViews>
  <sheets>
    <sheet name="SERTIFIKAT" sheetId="36" r:id="rId1"/>
    <sheet name="Riwayat Revisi" sheetId="25" r:id="rId2"/>
    <sheet name="LK" sheetId="8" r:id="rId3"/>
    <sheet name="ID" sheetId="7" r:id="rId4"/>
    <sheet name="UB" sheetId="12" r:id="rId5"/>
    <sheet name="PENYELIA" sheetId="9" r:id="rId6"/>
    <sheet name="LH" sheetId="13" r:id="rId7"/>
    <sheet name="DB ESA" sheetId="35" r:id="rId8"/>
    <sheet name="DB Thermohygro" sheetId="34" r:id="rId9"/>
    <sheet name="DB ECG" sheetId="22" r:id="rId10"/>
  </sheets>
  <externalReferences>
    <externalReference r:id="rId11"/>
  </externalReferences>
  <definedNames>
    <definedName name="_xlnm.Print_Area" localSheetId="3">ID!$A$1:$P$61</definedName>
    <definedName name="_xlnm.Print_Area" localSheetId="6">LH!$A$1:$O$65</definedName>
    <definedName name="_xlnm.Print_Area" localSheetId="2">LK!$A$1:$L$64</definedName>
    <definedName name="_xlnm.Print_Area" localSheetId="5">PENYELIA!$A$1:$N$60</definedName>
    <definedName name="_xlnm.Print_Area" localSheetId="0">SERTIFIKAT!$A$1:$F$33</definedName>
    <definedName name="_xlnm.Print_Area" localSheetId="4">UB!$B$1:$L$62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2" i="13" l="1"/>
  <c r="B41" i="13"/>
  <c r="H36" i="13"/>
  <c r="K39" i="7"/>
  <c r="K38" i="13"/>
  <c r="K37" i="13"/>
  <c r="K36" i="13"/>
  <c r="K35" i="13"/>
  <c r="K34" i="13"/>
  <c r="G16" i="13"/>
  <c r="E16" i="13"/>
  <c r="G73" i="22"/>
  <c r="E4" i="12" l="1"/>
  <c r="J46" i="22" l="1"/>
  <c r="J47" i="22"/>
  <c r="J48" i="22"/>
  <c r="J49" i="22"/>
  <c r="J50" i="22"/>
  <c r="N270" i="35"/>
  <c r="N269" i="35"/>
  <c r="J266" i="35"/>
  <c r="E5" i="12"/>
  <c r="B50" i="36" l="1"/>
  <c r="A19" i="36" s="1"/>
  <c r="B45" i="36"/>
  <c r="B46" i="36" s="1"/>
  <c r="B43" i="36"/>
  <c r="E26" i="36"/>
  <c r="D23" i="36"/>
  <c r="D21" i="36"/>
  <c r="D20" i="36"/>
  <c r="D19" i="36"/>
  <c r="B54" i="36" s="1"/>
  <c r="B55" i="36" s="1"/>
  <c r="D18" i="36"/>
  <c r="D17" i="36"/>
  <c r="A17" i="36"/>
  <c r="F11" i="36"/>
  <c r="D11" i="36"/>
  <c r="D10" i="36"/>
  <c r="D9" i="36"/>
  <c r="D8" i="36"/>
  <c r="D4" i="36"/>
  <c r="A3" i="36"/>
  <c r="F6" i="36" s="1"/>
  <c r="B59" i="36" l="1"/>
  <c r="B57" i="36" s="1"/>
  <c r="B58" i="36"/>
  <c r="A20" i="36"/>
  <c r="A21" i="36"/>
  <c r="A22" i="36"/>
  <c r="L26" i="13" l="1"/>
  <c r="L164" i="22" l="1"/>
  <c r="L165" i="22"/>
  <c r="L166" i="22"/>
  <c r="L167" i="22"/>
  <c r="L168" i="22"/>
  <c r="L169" i="22"/>
  <c r="L170" i="22"/>
  <c r="L171" i="22"/>
  <c r="L172" i="22"/>
  <c r="L173" i="22"/>
  <c r="L174" i="22"/>
  <c r="L163" i="22"/>
  <c r="B156" i="22"/>
  <c r="A298" i="35" l="1"/>
  <c r="M272" i="35"/>
  <c r="L266" i="35" s="1"/>
  <c r="N272" i="35" s="1"/>
  <c r="M273" i="35"/>
  <c r="M271" i="35"/>
  <c r="K266" i="35" s="1"/>
  <c r="N271" i="35" s="1"/>
  <c r="M270" i="35"/>
  <c r="M269" i="35"/>
  <c r="I266" i="35" s="1"/>
  <c r="M268" i="35"/>
  <c r="K310" i="35"/>
  <c r="J310" i="35"/>
  <c r="I310" i="35"/>
  <c r="K309" i="35"/>
  <c r="J309" i="35"/>
  <c r="I309" i="35"/>
  <c r="K308" i="35"/>
  <c r="J308" i="35"/>
  <c r="I308" i="35"/>
  <c r="K307" i="35"/>
  <c r="J307" i="35"/>
  <c r="I307" i="35"/>
  <c r="K306" i="35"/>
  <c r="J306" i="35"/>
  <c r="I306" i="35"/>
  <c r="K305" i="35"/>
  <c r="J305" i="35"/>
  <c r="I305" i="35"/>
  <c r="K304" i="35"/>
  <c r="J304" i="35"/>
  <c r="I304" i="35"/>
  <c r="K303" i="35"/>
  <c r="J303" i="35"/>
  <c r="I303" i="35"/>
  <c r="K302" i="35"/>
  <c r="J302" i="35"/>
  <c r="I302" i="35"/>
  <c r="K301" i="35"/>
  <c r="J301" i="35"/>
  <c r="I301" i="35"/>
  <c r="K300" i="35"/>
  <c r="J300" i="35"/>
  <c r="I300" i="35"/>
  <c r="K299" i="35"/>
  <c r="J299" i="35"/>
  <c r="I299" i="35"/>
  <c r="A289" i="35"/>
  <c r="A283" i="35"/>
  <c r="A275" i="35"/>
  <c r="A267" i="35"/>
  <c r="Q262" i="35"/>
  <c r="O262" i="35"/>
  <c r="N262" i="35"/>
  <c r="M262" i="35"/>
  <c r="L262" i="35"/>
  <c r="H262" i="35"/>
  <c r="F262" i="35"/>
  <c r="E262" i="35"/>
  <c r="D262" i="35"/>
  <c r="C262" i="35"/>
  <c r="Q261" i="35"/>
  <c r="O261" i="35"/>
  <c r="N261" i="35"/>
  <c r="M261" i="35"/>
  <c r="L261" i="35"/>
  <c r="H261" i="35"/>
  <c r="F261" i="35"/>
  <c r="E261" i="35"/>
  <c r="D261" i="35"/>
  <c r="C261" i="35"/>
  <c r="Q260" i="35"/>
  <c r="O260" i="35"/>
  <c r="N260" i="35"/>
  <c r="M260" i="35"/>
  <c r="L260" i="35"/>
  <c r="H260" i="35"/>
  <c r="F260" i="35"/>
  <c r="E260" i="35"/>
  <c r="D260" i="35"/>
  <c r="C260" i="35"/>
  <c r="O259" i="35"/>
  <c r="N259" i="35"/>
  <c r="M259" i="35"/>
  <c r="L259" i="35"/>
  <c r="H259" i="35"/>
  <c r="F259" i="35"/>
  <c r="E259" i="35"/>
  <c r="D259" i="35"/>
  <c r="C259" i="35"/>
  <c r="O258" i="35"/>
  <c r="N258" i="35"/>
  <c r="M258" i="35"/>
  <c r="L258" i="35"/>
  <c r="F258" i="35"/>
  <c r="E258" i="35"/>
  <c r="D258" i="35"/>
  <c r="C258" i="35"/>
  <c r="O257" i="35"/>
  <c r="N257" i="35"/>
  <c r="M257" i="35"/>
  <c r="L257" i="35"/>
  <c r="F257" i="35"/>
  <c r="E257" i="35"/>
  <c r="D257" i="35"/>
  <c r="C257" i="35"/>
  <c r="O256" i="35"/>
  <c r="N256" i="35"/>
  <c r="M256" i="35"/>
  <c r="L256" i="35"/>
  <c r="F256" i="35"/>
  <c r="E256" i="35"/>
  <c r="D256" i="35"/>
  <c r="C256" i="35"/>
  <c r="O255" i="35"/>
  <c r="N255" i="35"/>
  <c r="M255" i="35"/>
  <c r="L255" i="35"/>
  <c r="F255" i="35"/>
  <c r="E255" i="35"/>
  <c r="D255" i="35"/>
  <c r="C255" i="35"/>
  <c r="O254" i="35"/>
  <c r="N254" i="35"/>
  <c r="M254" i="35"/>
  <c r="L254" i="35"/>
  <c r="F254" i="35"/>
  <c r="E254" i="35"/>
  <c r="D254" i="35"/>
  <c r="C254" i="35"/>
  <c r="O253" i="35"/>
  <c r="N253" i="35"/>
  <c r="M253" i="35"/>
  <c r="L253" i="35"/>
  <c r="F253" i="35"/>
  <c r="E253" i="35"/>
  <c r="D253" i="35"/>
  <c r="C253" i="35"/>
  <c r="O252" i="35"/>
  <c r="N252" i="35"/>
  <c r="M252" i="35"/>
  <c r="L252" i="35"/>
  <c r="F252" i="35"/>
  <c r="E252" i="35"/>
  <c r="D252" i="35"/>
  <c r="C252" i="35"/>
  <c r="O251" i="35"/>
  <c r="N251" i="35"/>
  <c r="M251" i="35"/>
  <c r="L251" i="35"/>
  <c r="H251" i="35"/>
  <c r="F251" i="35"/>
  <c r="E251" i="35"/>
  <c r="D251" i="35"/>
  <c r="C251" i="35"/>
  <c r="Q249" i="35"/>
  <c r="O249" i="35"/>
  <c r="N249" i="35"/>
  <c r="M249" i="35"/>
  <c r="L249" i="35"/>
  <c r="H249" i="35"/>
  <c r="F249" i="35"/>
  <c r="E249" i="35"/>
  <c r="D249" i="35"/>
  <c r="C249" i="35"/>
  <c r="Q248" i="35"/>
  <c r="O248" i="35"/>
  <c r="N248" i="35"/>
  <c r="M248" i="35"/>
  <c r="L248" i="35"/>
  <c r="H248" i="35"/>
  <c r="F248" i="35"/>
  <c r="E248" i="35"/>
  <c r="D248" i="35"/>
  <c r="C248" i="35"/>
  <c r="Q247" i="35"/>
  <c r="O247" i="35"/>
  <c r="N247" i="35"/>
  <c r="M247" i="35"/>
  <c r="L247" i="35"/>
  <c r="H247" i="35"/>
  <c r="F247" i="35"/>
  <c r="E247" i="35"/>
  <c r="D247" i="35"/>
  <c r="C247" i="35"/>
  <c r="O246" i="35"/>
  <c r="N246" i="35"/>
  <c r="M246" i="35"/>
  <c r="L246" i="35"/>
  <c r="H246" i="35"/>
  <c r="F246" i="35"/>
  <c r="E246" i="35"/>
  <c r="D246" i="35"/>
  <c r="C246" i="35"/>
  <c r="O245" i="35"/>
  <c r="N245" i="35"/>
  <c r="M245" i="35"/>
  <c r="L245" i="35"/>
  <c r="F245" i="35"/>
  <c r="E245" i="35"/>
  <c r="D245" i="35"/>
  <c r="C245" i="35"/>
  <c r="O244" i="35"/>
  <c r="N244" i="35"/>
  <c r="M244" i="35"/>
  <c r="L244" i="35"/>
  <c r="F244" i="35"/>
  <c r="E244" i="35"/>
  <c r="D244" i="35"/>
  <c r="C244" i="35"/>
  <c r="O243" i="35"/>
  <c r="N243" i="35"/>
  <c r="M243" i="35"/>
  <c r="L243" i="35"/>
  <c r="F243" i="35"/>
  <c r="E243" i="35"/>
  <c r="D243" i="35"/>
  <c r="C243" i="35"/>
  <c r="O242" i="35"/>
  <c r="N242" i="35"/>
  <c r="M242" i="35"/>
  <c r="L242" i="35"/>
  <c r="F242" i="35"/>
  <c r="E242" i="35"/>
  <c r="D242" i="35"/>
  <c r="C242" i="35"/>
  <c r="O241" i="35"/>
  <c r="N241" i="35"/>
  <c r="M241" i="35"/>
  <c r="L241" i="35"/>
  <c r="F241" i="35"/>
  <c r="E241" i="35"/>
  <c r="D241" i="35"/>
  <c r="C241" i="35"/>
  <c r="O240" i="35"/>
  <c r="N240" i="35"/>
  <c r="M240" i="35"/>
  <c r="L240" i="35"/>
  <c r="F240" i="35"/>
  <c r="E240" i="35"/>
  <c r="D240" i="35"/>
  <c r="C240" i="35"/>
  <c r="O239" i="35"/>
  <c r="N239" i="35"/>
  <c r="M239" i="35"/>
  <c r="L239" i="35"/>
  <c r="F239" i="35"/>
  <c r="E239" i="35"/>
  <c r="D239" i="35"/>
  <c r="C239" i="35"/>
  <c r="O238" i="35"/>
  <c r="N238" i="35"/>
  <c r="M238" i="35"/>
  <c r="L238" i="35"/>
  <c r="H238" i="35"/>
  <c r="F238" i="35"/>
  <c r="E238" i="35"/>
  <c r="D238" i="35"/>
  <c r="C238" i="35"/>
  <c r="Q236" i="35"/>
  <c r="O236" i="35"/>
  <c r="N236" i="35"/>
  <c r="M236" i="35"/>
  <c r="L236" i="35"/>
  <c r="H236" i="35"/>
  <c r="F236" i="35"/>
  <c r="E236" i="35"/>
  <c r="D236" i="35"/>
  <c r="C236" i="35"/>
  <c r="Q235" i="35"/>
  <c r="O235" i="35"/>
  <c r="N235" i="35"/>
  <c r="M235" i="35"/>
  <c r="L235" i="35"/>
  <c r="H235" i="35"/>
  <c r="F235" i="35"/>
  <c r="E235" i="35"/>
  <c r="D235" i="35"/>
  <c r="C235" i="35"/>
  <c r="Q234" i="35"/>
  <c r="O234" i="35"/>
  <c r="N234" i="35"/>
  <c r="M234" i="35"/>
  <c r="L234" i="35"/>
  <c r="H234" i="35"/>
  <c r="F234" i="35"/>
  <c r="E234" i="35"/>
  <c r="D234" i="35"/>
  <c r="C234" i="35"/>
  <c r="O233" i="35"/>
  <c r="N233" i="35"/>
  <c r="M233" i="35"/>
  <c r="L233" i="35"/>
  <c r="H233" i="35"/>
  <c r="F233" i="35"/>
  <c r="E233" i="35"/>
  <c r="D233" i="35"/>
  <c r="C233" i="35"/>
  <c r="O232" i="35"/>
  <c r="N232" i="35"/>
  <c r="M232" i="35"/>
  <c r="L232" i="35"/>
  <c r="F232" i="35"/>
  <c r="E232" i="35"/>
  <c r="D232" i="35"/>
  <c r="C232" i="35"/>
  <c r="O231" i="35"/>
  <c r="N231" i="35"/>
  <c r="M231" i="35"/>
  <c r="L231" i="35"/>
  <c r="F231" i="35"/>
  <c r="E231" i="35"/>
  <c r="D231" i="35"/>
  <c r="C231" i="35"/>
  <c r="O230" i="35"/>
  <c r="N230" i="35"/>
  <c r="M230" i="35"/>
  <c r="L230" i="35"/>
  <c r="F230" i="35"/>
  <c r="E230" i="35"/>
  <c r="D230" i="35"/>
  <c r="C230" i="35"/>
  <c r="O229" i="35"/>
  <c r="N229" i="35"/>
  <c r="M229" i="35"/>
  <c r="L229" i="35"/>
  <c r="F229" i="35"/>
  <c r="E229" i="35"/>
  <c r="D229" i="35"/>
  <c r="C229" i="35"/>
  <c r="O228" i="35"/>
  <c r="N228" i="35"/>
  <c r="M228" i="35"/>
  <c r="L228" i="35"/>
  <c r="F228" i="35"/>
  <c r="E228" i="35"/>
  <c r="D228" i="35"/>
  <c r="C228" i="35"/>
  <c r="O227" i="35"/>
  <c r="N227" i="35"/>
  <c r="M227" i="35"/>
  <c r="L227" i="35"/>
  <c r="F227" i="35"/>
  <c r="E227" i="35"/>
  <c r="D227" i="35"/>
  <c r="C227" i="35"/>
  <c r="O226" i="35"/>
  <c r="N226" i="35"/>
  <c r="M226" i="35"/>
  <c r="L226" i="35"/>
  <c r="F226" i="35"/>
  <c r="E226" i="35"/>
  <c r="D226" i="35"/>
  <c r="C226" i="35"/>
  <c r="O225" i="35"/>
  <c r="N225" i="35"/>
  <c r="M225" i="35"/>
  <c r="L225" i="35"/>
  <c r="H225" i="35"/>
  <c r="F225" i="35"/>
  <c r="E225" i="35"/>
  <c r="D225" i="35"/>
  <c r="C225" i="35"/>
  <c r="Q223" i="35"/>
  <c r="O223" i="35"/>
  <c r="N223" i="35"/>
  <c r="M223" i="35"/>
  <c r="L223" i="35"/>
  <c r="H223" i="35"/>
  <c r="F223" i="35"/>
  <c r="E223" i="35"/>
  <c r="D223" i="35"/>
  <c r="C223" i="35"/>
  <c r="Q222" i="35"/>
  <c r="O222" i="35"/>
  <c r="N222" i="35"/>
  <c r="M222" i="35"/>
  <c r="L222" i="35"/>
  <c r="H222" i="35"/>
  <c r="F222" i="35"/>
  <c r="E222" i="35"/>
  <c r="D222" i="35"/>
  <c r="C222" i="35"/>
  <c r="Q221" i="35"/>
  <c r="O221" i="35"/>
  <c r="N221" i="35"/>
  <c r="M221" i="35"/>
  <c r="L221" i="35"/>
  <c r="H221" i="35"/>
  <c r="F221" i="35"/>
  <c r="E221" i="35"/>
  <c r="D221" i="35"/>
  <c r="C221" i="35"/>
  <c r="O220" i="35"/>
  <c r="N220" i="35"/>
  <c r="M220" i="35"/>
  <c r="L220" i="35"/>
  <c r="H220" i="35"/>
  <c r="F220" i="35"/>
  <c r="E220" i="35"/>
  <c r="D220" i="35"/>
  <c r="C220" i="35"/>
  <c r="O219" i="35"/>
  <c r="N219" i="35"/>
  <c r="M219" i="35"/>
  <c r="L219" i="35"/>
  <c r="F219" i="35"/>
  <c r="E219" i="35"/>
  <c r="D219" i="35"/>
  <c r="C219" i="35"/>
  <c r="Q218" i="35"/>
  <c r="O218" i="35"/>
  <c r="N218" i="35"/>
  <c r="M218" i="35"/>
  <c r="L218" i="35"/>
  <c r="F218" i="35"/>
  <c r="E218" i="35"/>
  <c r="D218" i="35"/>
  <c r="C218" i="35"/>
  <c r="O217" i="35"/>
  <c r="N217" i="35"/>
  <c r="M217" i="35"/>
  <c r="L217" i="35"/>
  <c r="F217" i="35"/>
  <c r="E217" i="35"/>
  <c r="D217" i="35"/>
  <c r="C217" i="35"/>
  <c r="O216" i="35"/>
  <c r="N216" i="35"/>
  <c r="M216" i="35"/>
  <c r="L216" i="35"/>
  <c r="F216" i="35"/>
  <c r="E216" i="35"/>
  <c r="D216" i="35"/>
  <c r="C216" i="35"/>
  <c r="O215" i="35"/>
  <c r="N215" i="35"/>
  <c r="M215" i="35"/>
  <c r="L215" i="35"/>
  <c r="F215" i="35"/>
  <c r="E215" i="35"/>
  <c r="D215" i="35"/>
  <c r="C215" i="35"/>
  <c r="O214" i="35"/>
  <c r="N214" i="35"/>
  <c r="M214" i="35"/>
  <c r="L214" i="35"/>
  <c r="F214" i="35"/>
  <c r="E214" i="35"/>
  <c r="D214" i="35"/>
  <c r="C214" i="35"/>
  <c r="O213" i="35"/>
  <c r="N213" i="35"/>
  <c r="M213" i="35"/>
  <c r="L213" i="35"/>
  <c r="F213" i="35"/>
  <c r="E213" i="35"/>
  <c r="D213" i="35"/>
  <c r="C213" i="35"/>
  <c r="O212" i="35"/>
  <c r="N212" i="35"/>
  <c r="M212" i="35"/>
  <c r="L212" i="35"/>
  <c r="H212" i="35"/>
  <c r="F212" i="35"/>
  <c r="E212" i="35"/>
  <c r="D212" i="35"/>
  <c r="C212" i="35"/>
  <c r="L210" i="35"/>
  <c r="C210" i="35"/>
  <c r="Q207" i="35"/>
  <c r="O207" i="35"/>
  <c r="N207" i="35"/>
  <c r="M207" i="35"/>
  <c r="L207" i="35"/>
  <c r="H207" i="35"/>
  <c r="F207" i="35"/>
  <c r="E207" i="35"/>
  <c r="D207" i="35"/>
  <c r="C207" i="35"/>
  <c r="Q206" i="35"/>
  <c r="O206" i="35"/>
  <c r="N206" i="35"/>
  <c r="M206" i="35"/>
  <c r="L206" i="35"/>
  <c r="H206" i="35"/>
  <c r="F206" i="35"/>
  <c r="E206" i="35"/>
  <c r="D206" i="35"/>
  <c r="C206" i="35"/>
  <c r="Q205" i="35"/>
  <c r="O205" i="35"/>
  <c r="N205" i="35"/>
  <c r="M205" i="35"/>
  <c r="L205" i="35"/>
  <c r="H205" i="35"/>
  <c r="F205" i="35"/>
  <c r="E205" i="35"/>
  <c r="D205" i="35"/>
  <c r="C205" i="35"/>
  <c r="Q204" i="35"/>
  <c r="O204" i="35"/>
  <c r="N204" i="35"/>
  <c r="M204" i="35"/>
  <c r="L204" i="35"/>
  <c r="F204" i="35"/>
  <c r="E204" i="35"/>
  <c r="D204" i="35"/>
  <c r="C204" i="35"/>
  <c r="O203" i="35"/>
  <c r="N203" i="35"/>
  <c r="M203" i="35"/>
  <c r="L203" i="35"/>
  <c r="F203" i="35"/>
  <c r="E203" i="35"/>
  <c r="D203" i="35"/>
  <c r="C203" i="35"/>
  <c r="Q202" i="35"/>
  <c r="O202" i="35"/>
  <c r="N202" i="35"/>
  <c r="M202" i="35"/>
  <c r="L202" i="35"/>
  <c r="F202" i="35"/>
  <c r="E202" i="35"/>
  <c r="D202" i="35"/>
  <c r="C202" i="35"/>
  <c r="Q201" i="35"/>
  <c r="O201" i="35"/>
  <c r="N201" i="35"/>
  <c r="M201" i="35"/>
  <c r="L201" i="35"/>
  <c r="F201" i="35"/>
  <c r="E201" i="35"/>
  <c r="D201" i="35"/>
  <c r="C201" i="35"/>
  <c r="Q200" i="35"/>
  <c r="O200" i="35"/>
  <c r="N200" i="35"/>
  <c r="M200" i="35"/>
  <c r="L200" i="35"/>
  <c r="H200" i="35"/>
  <c r="F200" i="35"/>
  <c r="E200" i="35"/>
  <c r="D200" i="35"/>
  <c r="C200" i="35"/>
  <c r="O199" i="35"/>
  <c r="N199" i="35"/>
  <c r="M199" i="35"/>
  <c r="L199" i="35"/>
  <c r="H199" i="35"/>
  <c r="F199" i="35"/>
  <c r="E199" i="35"/>
  <c r="D199" i="35"/>
  <c r="C199" i="35"/>
  <c r="O198" i="35"/>
  <c r="N198" i="35"/>
  <c r="M198" i="35"/>
  <c r="L198" i="35"/>
  <c r="F198" i="35"/>
  <c r="E198" i="35"/>
  <c r="D198" i="35"/>
  <c r="C198" i="35"/>
  <c r="Q197" i="35"/>
  <c r="O197" i="35"/>
  <c r="N197" i="35"/>
  <c r="M197" i="35"/>
  <c r="L197" i="35"/>
  <c r="H197" i="35"/>
  <c r="F197" i="35"/>
  <c r="E197" i="35"/>
  <c r="D197" i="35"/>
  <c r="C197" i="35"/>
  <c r="Q196" i="35"/>
  <c r="O196" i="35"/>
  <c r="N196" i="35"/>
  <c r="M196" i="35"/>
  <c r="L196" i="35"/>
  <c r="F196" i="35"/>
  <c r="E196" i="35"/>
  <c r="D196" i="35"/>
  <c r="C196" i="35"/>
  <c r="Q194" i="35"/>
  <c r="O194" i="35"/>
  <c r="N194" i="35"/>
  <c r="M194" i="35"/>
  <c r="L194" i="35"/>
  <c r="H194" i="35"/>
  <c r="F194" i="35"/>
  <c r="E194" i="35"/>
  <c r="D194" i="35"/>
  <c r="C194" i="35"/>
  <c r="Q193" i="35"/>
  <c r="O193" i="35"/>
  <c r="N193" i="35"/>
  <c r="M193" i="35"/>
  <c r="L193" i="35"/>
  <c r="H193" i="35"/>
  <c r="F193" i="35"/>
  <c r="E193" i="35"/>
  <c r="D193" i="35"/>
  <c r="C193" i="35"/>
  <c r="Q192" i="35"/>
  <c r="O192" i="35"/>
  <c r="N192" i="35"/>
  <c r="M192" i="35"/>
  <c r="L192" i="35"/>
  <c r="H192" i="35"/>
  <c r="F192" i="35"/>
  <c r="E192" i="35"/>
  <c r="D192" i="35"/>
  <c r="C192" i="35"/>
  <c r="O191" i="35"/>
  <c r="N191" i="35"/>
  <c r="M191" i="35"/>
  <c r="L191" i="35"/>
  <c r="F191" i="35"/>
  <c r="E191" i="35"/>
  <c r="D191" i="35"/>
  <c r="C191" i="35"/>
  <c r="O190" i="35"/>
  <c r="N190" i="35"/>
  <c r="M190" i="35"/>
  <c r="L190" i="35"/>
  <c r="F190" i="35"/>
  <c r="E190" i="35"/>
  <c r="D190" i="35"/>
  <c r="C190" i="35"/>
  <c r="O189" i="35"/>
  <c r="N189" i="35"/>
  <c r="M189" i="35"/>
  <c r="L189" i="35"/>
  <c r="F189" i="35"/>
  <c r="E189" i="35"/>
  <c r="D189" i="35"/>
  <c r="C189" i="35"/>
  <c r="O188" i="35"/>
  <c r="N188" i="35"/>
  <c r="M188" i="35"/>
  <c r="L188" i="35"/>
  <c r="F188" i="35"/>
  <c r="E188" i="35"/>
  <c r="D188" i="35"/>
  <c r="C188" i="35"/>
  <c r="O187" i="35"/>
  <c r="N187" i="35"/>
  <c r="M187" i="35"/>
  <c r="L187" i="35"/>
  <c r="F187" i="35"/>
  <c r="E187" i="35"/>
  <c r="D187" i="35"/>
  <c r="C187" i="35"/>
  <c r="O186" i="35"/>
  <c r="N186" i="35"/>
  <c r="M186" i="35"/>
  <c r="L186" i="35"/>
  <c r="F186" i="35"/>
  <c r="E186" i="35"/>
  <c r="D186" i="35"/>
  <c r="C186" i="35"/>
  <c r="O185" i="35"/>
  <c r="N185" i="35"/>
  <c r="M185" i="35"/>
  <c r="L185" i="35"/>
  <c r="F185" i="35"/>
  <c r="E185" i="35"/>
  <c r="D185" i="35"/>
  <c r="C185" i="35"/>
  <c r="O184" i="35"/>
  <c r="N184" i="35"/>
  <c r="M184" i="35"/>
  <c r="L184" i="35"/>
  <c r="F184" i="35"/>
  <c r="E184" i="35"/>
  <c r="D184" i="35"/>
  <c r="C184" i="35"/>
  <c r="O183" i="35"/>
  <c r="N183" i="35"/>
  <c r="M183" i="35"/>
  <c r="L183" i="35"/>
  <c r="F183" i="35"/>
  <c r="E183" i="35"/>
  <c r="D183" i="35"/>
  <c r="C183" i="35"/>
  <c r="Q181" i="35"/>
  <c r="O181" i="35"/>
  <c r="N181" i="35"/>
  <c r="M181" i="35"/>
  <c r="L181" i="35"/>
  <c r="H181" i="35"/>
  <c r="F181" i="35"/>
  <c r="E181" i="35"/>
  <c r="D181" i="35"/>
  <c r="C181" i="35"/>
  <c r="Q180" i="35"/>
  <c r="O180" i="35"/>
  <c r="N180" i="35"/>
  <c r="M180" i="35"/>
  <c r="L180" i="35"/>
  <c r="H180" i="35"/>
  <c r="F180" i="35"/>
  <c r="E180" i="35"/>
  <c r="D180" i="35"/>
  <c r="C180" i="35"/>
  <c r="Q179" i="35"/>
  <c r="O179" i="35"/>
  <c r="N179" i="35"/>
  <c r="M179" i="35"/>
  <c r="L179" i="35"/>
  <c r="H179" i="35"/>
  <c r="F179" i="35"/>
  <c r="E179" i="35"/>
  <c r="D179" i="35"/>
  <c r="C179" i="35"/>
  <c r="O178" i="35"/>
  <c r="N178" i="35"/>
  <c r="M178" i="35"/>
  <c r="L178" i="35"/>
  <c r="F178" i="35"/>
  <c r="E178" i="35"/>
  <c r="D178" i="35"/>
  <c r="C178" i="35"/>
  <c r="O177" i="35"/>
  <c r="N177" i="35"/>
  <c r="M177" i="35"/>
  <c r="L177" i="35"/>
  <c r="F177" i="35"/>
  <c r="E177" i="35"/>
  <c r="D177" i="35"/>
  <c r="C177" i="35"/>
  <c r="O176" i="35"/>
  <c r="N176" i="35"/>
  <c r="M176" i="35"/>
  <c r="L176" i="35"/>
  <c r="F176" i="35"/>
  <c r="E176" i="35"/>
  <c r="D176" i="35"/>
  <c r="C176" i="35"/>
  <c r="O175" i="35"/>
  <c r="N175" i="35"/>
  <c r="M175" i="35"/>
  <c r="L175" i="35"/>
  <c r="F175" i="35"/>
  <c r="E175" i="35"/>
  <c r="D175" i="35"/>
  <c r="C175" i="35"/>
  <c r="O174" i="35"/>
  <c r="N174" i="35"/>
  <c r="M174" i="35"/>
  <c r="L174" i="35"/>
  <c r="F174" i="35"/>
  <c r="E174" i="35"/>
  <c r="D174" i="35"/>
  <c r="C174" i="35"/>
  <c r="O173" i="35"/>
  <c r="N173" i="35"/>
  <c r="M173" i="35"/>
  <c r="L173" i="35"/>
  <c r="F173" i="35"/>
  <c r="E173" i="35"/>
  <c r="D173" i="35"/>
  <c r="C173" i="35"/>
  <c r="O172" i="35"/>
  <c r="N172" i="35"/>
  <c r="M172" i="35"/>
  <c r="L172" i="35"/>
  <c r="F172" i="35"/>
  <c r="E172" i="35"/>
  <c r="D172" i="35"/>
  <c r="C172" i="35"/>
  <c r="O171" i="35"/>
  <c r="N171" i="35"/>
  <c r="M171" i="35"/>
  <c r="L171" i="35"/>
  <c r="F171" i="35"/>
  <c r="E171" i="35"/>
  <c r="D171" i="35"/>
  <c r="C171" i="35"/>
  <c r="O170" i="35"/>
  <c r="N170" i="35"/>
  <c r="M170" i="35"/>
  <c r="L170" i="35"/>
  <c r="F170" i="35"/>
  <c r="E170" i="35"/>
  <c r="D170" i="35"/>
  <c r="C170" i="35"/>
  <c r="Q168" i="35"/>
  <c r="O168" i="35"/>
  <c r="N168" i="35"/>
  <c r="M168" i="35"/>
  <c r="L168" i="35"/>
  <c r="H168" i="35"/>
  <c r="F168" i="35"/>
  <c r="E168" i="35"/>
  <c r="D168" i="35"/>
  <c r="C168" i="35"/>
  <c r="Q167" i="35"/>
  <c r="O167" i="35"/>
  <c r="N167" i="35"/>
  <c r="M167" i="35"/>
  <c r="L167" i="35"/>
  <c r="H167" i="35"/>
  <c r="F167" i="35"/>
  <c r="E167" i="35"/>
  <c r="D167" i="35"/>
  <c r="C167" i="35"/>
  <c r="Q166" i="35"/>
  <c r="O166" i="35"/>
  <c r="N166" i="35"/>
  <c r="M166" i="35"/>
  <c r="L166" i="35"/>
  <c r="H166" i="35"/>
  <c r="F166" i="35"/>
  <c r="E166" i="35"/>
  <c r="D166" i="35"/>
  <c r="C166" i="35"/>
  <c r="O165" i="35"/>
  <c r="N165" i="35"/>
  <c r="M165" i="35"/>
  <c r="L165" i="35"/>
  <c r="F165" i="35"/>
  <c r="E165" i="35"/>
  <c r="D165" i="35"/>
  <c r="C165" i="35"/>
  <c r="O164" i="35"/>
  <c r="N164" i="35"/>
  <c r="M164" i="35"/>
  <c r="L164" i="35"/>
  <c r="F164" i="35"/>
  <c r="E164" i="35"/>
  <c r="D164" i="35"/>
  <c r="C164" i="35"/>
  <c r="O163" i="35"/>
  <c r="N163" i="35"/>
  <c r="M163" i="35"/>
  <c r="L163" i="35"/>
  <c r="F163" i="35"/>
  <c r="E163" i="35"/>
  <c r="D163" i="35"/>
  <c r="C163" i="35"/>
  <c r="O162" i="35"/>
  <c r="N162" i="35"/>
  <c r="M162" i="35"/>
  <c r="L162" i="35"/>
  <c r="F162" i="35"/>
  <c r="E162" i="35"/>
  <c r="D162" i="35"/>
  <c r="C162" i="35"/>
  <c r="O161" i="35"/>
  <c r="N161" i="35"/>
  <c r="M161" i="35"/>
  <c r="L161" i="35"/>
  <c r="F161" i="35"/>
  <c r="E161" i="35"/>
  <c r="D161" i="35"/>
  <c r="C161" i="35"/>
  <c r="O160" i="35"/>
  <c r="N160" i="35"/>
  <c r="M160" i="35"/>
  <c r="L160" i="35"/>
  <c r="F160" i="35"/>
  <c r="E160" i="35"/>
  <c r="D160" i="35"/>
  <c r="C160" i="35"/>
  <c r="O159" i="35"/>
  <c r="N159" i="35"/>
  <c r="M159" i="35"/>
  <c r="L159" i="35"/>
  <c r="F159" i="35"/>
  <c r="E159" i="35"/>
  <c r="D159" i="35"/>
  <c r="C159" i="35"/>
  <c r="O158" i="35"/>
  <c r="N158" i="35"/>
  <c r="M158" i="35"/>
  <c r="L158" i="35"/>
  <c r="F158" i="35"/>
  <c r="E158" i="35"/>
  <c r="D158" i="35"/>
  <c r="C158" i="35"/>
  <c r="O157" i="35"/>
  <c r="N157" i="35"/>
  <c r="M157" i="35"/>
  <c r="L157" i="35"/>
  <c r="F157" i="35"/>
  <c r="E157" i="35"/>
  <c r="D157" i="35"/>
  <c r="C157" i="35"/>
  <c r="Q155" i="35"/>
  <c r="O155" i="35"/>
  <c r="N155" i="35"/>
  <c r="M155" i="35"/>
  <c r="L155" i="35"/>
  <c r="H155" i="35"/>
  <c r="F155" i="35"/>
  <c r="E155" i="35"/>
  <c r="D155" i="35"/>
  <c r="C155" i="35"/>
  <c r="Q154" i="35"/>
  <c r="O154" i="35"/>
  <c r="N154" i="35"/>
  <c r="M154" i="35"/>
  <c r="L154" i="35"/>
  <c r="H154" i="35"/>
  <c r="F154" i="35"/>
  <c r="E154" i="35"/>
  <c r="D154" i="35"/>
  <c r="C154" i="35"/>
  <c r="Q153" i="35"/>
  <c r="O153" i="35"/>
  <c r="N153" i="35"/>
  <c r="M153" i="35"/>
  <c r="L153" i="35"/>
  <c r="H153" i="35"/>
  <c r="F153" i="35"/>
  <c r="E153" i="35"/>
  <c r="D153" i="35"/>
  <c r="C153" i="35"/>
  <c r="O152" i="35"/>
  <c r="N152" i="35"/>
  <c r="M152" i="35"/>
  <c r="L152" i="35"/>
  <c r="F152" i="35"/>
  <c r="E152" i="35"/>
  <c r="D152" i="35"/>
  <c r="C152" i="35"/>
  <c r="O151" i="35"/>
  <c r="N151" i="35"/>
  <c r="M151" i="35"/>
  <c r="L151" i="35"/>
  <c r="F151" i="35"/>
  <c r="E151" i="35"/>
  <c r="D151" i="35"/>
  <c r="C151" i="35"/>
  <c r="O150" i="35"/>
  <c r="N150" i="35"/>
  <c r="M150" i="35"/>
  <c r="L150" i="35"/>
  <c r="F150" i="35"/>
  <c r="E150" i="35"/>
  <c r="D150" i="35"/>
  <c r="C150" i="35"/>
  <c r="O149" i="35"/>
  <c r="N149" i="35"/>
  <c r="M149" i="35"/>
  <c r="L149" i="35"/>
  <c r="F149" i="35"/>
  <c r="E149" i="35"/>
  <c r="D149" i="35"/>
  <c r="C149" i="35"/>
  <c r="O148" i="35"/>
  <c r="N148" i="35"/>
  <c r="M148" i="35"/>
  <c r="L148" i="35"/>
  <c r="F148" i="35"/>
  <c r="E148" i="35"/>
  <c r="D148" i="35"/>
  <c r="C148" i="35"/>
  <c r="O147" i="35"/>
  <c r="N147" i="35"/>
  <c r="M147" i="35"/>
  <c r="L147" i="35"/>
  <c r="F147" i="35"/>
  <c r="E147" i="35"/>
  <c r="D147" i="35"/>
  <c r="C147" i="35"/>
  <c r="O146" i="35"/>
  <c r="N146" i="35"/>
  <c r="M146" i="35"/>
  <c r="L146" i="35"/>
  <c r="F146" i="35"/>
  <c r="E146" i="35"/>
  <c r="D146" i="35"/>
  <c r="C146" i="35"/>
  <c r="O145" i="35"/>
  <c r="N145" i="35"/>
  <c r="M145" i="35"/>
  <c r="L145" i="35"/>
  <c r="F145" i="35"/>
  <c r="E145" i="35"/>
  <c r="D145" i="35"/>
  <c r="C145" i="35"/>
  <c r="O144" i="35"/>
  <c r="N144" i="35"/>
  <c r="M144" i="35"/>
  <c r="L144" i="35"/>
  <c r="F144" i="35"/>
  <c r="E144" i="35"/>
  <c r="D144" i="35"/>
  <c r="C144" i="35"/>
  <c r="Q142" i="35"/>
  <c r="O142" i="35"/>
  <c r="N142" i="35"/>
  <c r="M142" i="35"/>
  <c r="L142" i="35"/>
  <c r="H142" i="35"/>
  <c r="F142" i="35"/>
  <c r="E142" i="35"/>
  <c r="D142" i="35"/>
  <c r="C142" i="35"/>
  <c r="Q141" i="35"/>
  <c r="O141" i="35"/>
  <c r="N141" i="35"/>
  <c r="M141" i="35"/>
  <c r="L141" i="35"/>
  <c r="H141" i="35"/>
  <c r="F141" i="35"/>
  <c r="E141" i="35"/>
  <c r="D141" i="35"/>
  <c r="C141" i="35"/>
  <c r="Q140" i="35"/>
  <c r="O140" i="35"/>
  <c r="N140" i="35"/>
  <c r="M140" i="35"/>
  <c r="L140" i="35"/>
  <c r="H140" i="35"/>
  <c r="F140" i="35"/>
  <c r="E140" i="35"/>
  <c r="D140" i="35"/>
  <c r="C140" i="35"/>
  <c r="Q139" i="35"/>
  <c r="O139" i="35"/>
  <c r="N139" i="35"/>
  <c r="M139" i="35"/>
  <c r="L139" i="35"/>
  <c r="F139" i="35"/>
  <c r="E139" i="35"/>
  <c r="D139" i="35"/>
  <c r="C139" i="35"/>
  <c r="O138" i="35"/>
  <c r="N138" i="35"/>
  <c r="M138" i="35"/>
  <c r="L138" i="35"/>
  <c r="F138" i="35"/>
  <c r="E138" i="35"/>
  <c r="D138" i="35"/>
  <c r="C138" i="35"/>
  <c r="Q137" i="35"/>
  <c r="O137" i="35"/>
  <c r="N137" i="35"/>
  <c r="M137" i="35"/>
  <c r="L137" i="35"/>
  <c r="F137" i="35"/>
  <c r="E137" i="35"/>
  <c r="D137" i="35"/>
  <c r="C137" i="35"/>
  <c r="Q136" i="35"/>
  <c r="O136" i="35"/>
  <c r="N136" i="35"/>
  <c r="M136" i="35"/>
  <c r="L136" i="35"/>
  <c r="F136" i="35"/>
  <c r="E136" i="35"/>
  <c r="D136" i="35"/>
  <c r="C136" i="35"/>
  <c r="O135" i="35"/>
  <c r="N135" i="35"/>
  <c r="M135" i="35"/>
  <c r="L135" i="35"/>
  <c r="F135" i="35"/>
  <c r="E135" i="35"/>
  <c r="D135" i="35"/>
  <c r="C135" i="35"/>
  <c r="Q134" i="35"/>
  <c r="O134" i="35"/>
  <c r="N134" i="35"/>
  <c r="M134" i="35"/>
  <c r="L134" i="35"/>
  <c r="F134" i="35"/>
  <c r="E134" i="35"/>
  <c r="D134" i="35"/>
  <c r="C134" i="35"/>
  <c r="O133" i="35"/>
  <c r="N133" i="35"/>
  <c r="M133" i="35"/>
  <c r="L133" i="35"/>
  <c r="F133" i="35"/>
  <c r="E133" i="35"/>
  <c r="D133" i="35"/>
  <c r="C133" i="35"/>
  <c r="Q132" i="35"/>
  <c r="O132" i="35"/>
  <c r="N132" i="35"/>
  <c r="M132" i="35"/>
  <c r="L132" i="35"/>
  <c r="F132" i="35"/>
  <c r="E132" i="35"/>
  <c r="D132" i="35"/>
  <c r="C132" i="35"/>
  <c r="Q131" i="35"/>
  <c r="O131" i="35"/>
  <c r="N131" i="35"/>
  <c r="M131" i="35"/>
  <c r="L131" i="35"/>
  <c r="F131" i="35"/>
  <c r="E131" i="35"/>
  <c r="D131" i="35"/>
  <c r="C131" i="35"/>
  <c r="L129" i="35"/>
  <c r="C129" i="35"/>
  <c r="J128" i="35"/>
  <c r="T124" i="35"/>
  <c r="P262" i="35" s="1"/>
  <c r="M124" i="35"/>
  <c r="P261" i="35" s="1"/>
  <c r="F124" i="35"/>
  <c r="P260" i="35" s="1"/>
  <c r="T123" i="35"/>
  <c r="P249" i="35" s="1"/>
  <c r="M123" i="35"/>
  <c r="P248" i="35" s="1"/>
  <c r="F123" i="35"/>
  <c r="P247" i="35" s="1"/>
  <c r="T122" i="35"/>
  <c r="P236" i="35" s="1"/>
  <c r="M122" i="35"/>
  <c r="P235" i="35" s="1"/>
  <c r="F122" i="35"/>
  <c r="P234" i="35" s="1"/>
  <c r="T121" i="35"/>
  <c r="P223" i="35" s="1"/>
  <c r="M121" i="35"/>
  <c r="P222" i="35" s="1"/>
  <c r="F121" i="35"/>
  <c r="P221" i="35" s="1"/>
  <c r="S120" i="35"/>
  <c r="R120" i="35"/>
  <c r="Q120" i="35"/>
  <c r="L120" i="35"/>
  <c r="K120" i="35"/>
  <c r="J120" i="35"/>
  <c r="E120" i="35"/>
  <c r="D120" i="35"/>
  <c r="C120" i="35"/>
  <c r="P119" i="35"/>
  <c r="T118" i="35"/>
  <c r="G262" i="35" s="1"/>
  <c r="M118" i="35"/>
  <c r="G261" i="35" s="1"/>
  <c r="F118" i="35"/>
  <c r="G260" i="35" s="1"/>
  <c r="T117" i="35"/>
  <c r="G249" i="35" s="1"/>
  <c r="M117" i="35"/>
  <c r="G248" i="35" s="1"/>
  <c r="F117" i="35"/>
  <c r="G247" i="35" s="1"/>
  <c r="T116" i="35"/>
  <c r="G236" i="35" s="1"/>
  <c r="M116" i="35"/>
  <c r="G235" i="35" s="1"/>
  <c r="F116" i="35"/>
  <c r="G234" i="35" s="1"/>
  <c r="T115" i="35"/>
  <c r="G223" i="35" s="1"/>
  <c r="M115" i="35"/>
  <c r="G222" i="35" s="1"/>
  <c r="F115" i="35"/>
  <c r="G221" i="35" s="1"/>
  <c r="S114" i="35"/>
  <c r="R114" i="35"/>
  <c r="Q114" i="35"/>
  <c r="L114" i="35"/>
  <c r="K114" i="35"/>
  <c r="J114" i="35"/>
  <c r="E114" i="35"/>
  <c r="D114" i="35"/>
  <c r="C114" i="35"/>
  <c r="P113" i="35"/>
  <c r="T112" i="35"/>
  <c r="P207" i="35" s="1"/>
  <c r="M112" i="35"/>
  <c r="P206" i="35" s="1"/>
  <c r="F112" i="35"/>
  <c r="P205" i="35" s="1"/>
  <c r="T111" i="35"/>
  <c r="P194" i="35" s="1"/>
  <c r="M111" i="35"/>
  <c r="P193" i="35" s="1"/>
  <c r="F111" i="35"/>
  <c r="P192" i="35" s="1"/>
  <c r="T110" i="35"/>
  <c r="P181" i="35" s="1"/>
  <c r="M110" i="35"/>
  <c r="P180" i="35" s="1"/>
  <c r="F110" i="35"/>
  <c r="P179" i="35" s="1"/>
  <c r="T109" i="35"/>
  <c r="P168" i="35" s="1"/>
  <c r="M109" i="35"/>
  <c r="P167" i="35" s="1"/>
  <c r="F109" i="35"/>
  <c r="P166" i="35" s="1"/>
  <c r="T108" i="35"/>
  <c r="P155" i="35" s="1"/>
  <c r="M108" i="35"/>
  <c r="P154" i="35" s="1"/>
  <c r="F108" i="35"/>
  <c r="P153" i="35" s="1"/>
  <c r="T107" i="35"/>
  <c r="P142" i="35" s="1"/>
  <c r="M107" i="35"/>
  <c r="P141" i="35" s="1"/>
  <c r="F107" i="35"/>
  <c r="P140" i="35" s="1"/>
  <c r="S106" i="35"/>
  <c r="R106" i="35"/>
  <c r="Q106" i="35"/>
  <c r="L106" i="35"/>
  <c r="K106" i="35"/>
  <c r="J106" i="35"/>
  <c r="E106" i="35"/>
  <c r="D106" i="35"/>
  <c r="C106" i="35"/>
  <c r="P105" i="35"/>
  <c r="I105" i="35"/>
  <c r="T104" i="35"/>
  <c r="G207" i="35" s="1"/>
  <c r="M104" i="35"/>
  <c r="G206" i="35" s="1"/>
  <c r="F104" i="35"/>
  <c r="G205" i="35" s="1"/>
  <c r="T103" i="35"/>
  <c r="G194" i="35" s="1"/>
  <c r="M103" i="35"/>
  <c r="G193" i="35" s="1"/>
  <c r="F103" i="35"/>
  <c r="G192" i="35" s="1"/>
  <c r="T102" i="35"/>
  <c r="G181" i="35" s="1"/>
  <c r="M102" i="35"/>
  <c r="G180" i="35" s="1"/>
  <c r="F102" i="35"/>
  <c r="G179" i="35" s="1"/>
  <c r="T101" i="35"/>
  <c r="G168" i="35" s="1"/>
  <c r="M101" i="35"/>
  <c r="G167" i="35" s="1"/>
  <c r="F101" i="35"/>
  <c r="G166" i="35" s="1"/>
  <c r="T100" i="35"/>
  <c r="G155" i="35" s="1"/>
  <c r="M100" i="35"/>
  <c r="G154" i="35" s="1"/>
  <c r="F100" i="35"/>
  <c r="G153" i="35" s="1"/>
  <c r="T99" i="35"/>
  <c r="G142" i="35" s="1"/>
  <c r="M99" i="35"/>
  <c r="G141" i="35" s="1"/>
  <c r="F99" i="35"/>
  <c r="G140" i="35" s="1"/>
  <c r="P97" i="35"/>
  <c r="I97" i="35"/>
  <c r="U93" i="35"/>
  <c r="Q259" i="35" s="1"/>
  <c r="T93" i="35"/>
  <c r="P259" i="35" s="1"/>
  <c r="N93" i="35"/>
  <c r="Q258" i="35" s="1"/>
  <c r="M93" i="35"/>
  <c r="P258" i="35" s="1"/>
  <c r="G93" i="35"/>
  <c r="Q257" i="35" s="1"/>
  <c r="F93" i="35"/>
  <c r="P257" i="35" s="1"/>
  <c r="U92" i="35"/>
  <c r="Q246" i="35" s="1"/>
  <c r="T92" i="35"/>
  <c r="P246" i="35" s="1"/>
  <c r="N92" i="35"/>
  <c r="Q245" i="35" s="1"/>
  <c r="M92" i="35"/>
  <c r="P245" i="35" s="1"/>
  <c r="G92" i="35"/>
  <c r="Q244" i="35" s="1"/>
  <c r="F92" i="35"/>
  <c r="P244" i="35" s="1"/>
  <c r="U91" i="35"/>
  <c r="Q233" i="35" s="1"/>
  <c r="T91" i="35"/>
  <c r="P233" i="35" s="1"/>
  <c r="N91" i="35"/>
  <c r="Q232" i="35" s="1"/>
  <c r="M91" i="35"/>
  <c r="P232" i="35" s="1"/>
  <c r="G91" i="35"/>
  <c r="Q231" i="35" s="1"/>
  <c r="F91" i="35"/>
  <c r="P231" i="35" s="1"/>
  <c r="U90" i="35"/>
  <c r="Q220" i="35" s="1"/>
  <c r="T90" i="35"/>
  <c r="P220" i="35" s="1"/>
  <c r="N90" i="35"/>
  <c r="Q219" i="35" s="1"/>
  <c r="M90" i="35"/>
  <c r="P219" i="35" s="1"/>
  <c r="F90" i="35"/>
  <c r="P218" i="35" s="1"/>
  <c r="S89" i="35"/>
  <c r="R89" i="35"/>
  <c r="Q89" i="35"/>
  <c r="L89" i="35"/>
  <c r="K89" i="35"/>
  <c r="J89" i="35"/>
  <c r="E89" i="35"/>
  <c r="D89" i="35"/>
  <c r="C89" i="35"/>
  <c r="P88" i="35"/>
  <c r="T87" i="35"/>
  <c r="G259" i="35" s="1"/>
  <c r="N87" i="35"/>
  <c r="H258" i="35" s="1"/>
  <c r="M87" i="35"/>
  <c r="G258" i="35" s="1"/>
  <c r="G87" i="35"/>
  <c r="H257" i="35" s="1"/>
  <c r="F87" i="35"/>
  <c r="G257" i="35" s="1"/>
  <c r="T86" i="35"/>
  <c r="G246" i="35" s="1"/>
  <c r="N86" i="35"/>
  <c r="H245" i="35" s="1"/>
  <c r="M86" i="35"/>
  <c r="G245" i="35" s="1"/>
  <c r="G86" i="35"/>
  <c r="H244" i="35" s="1"/>
  <c r="F86" i="35"/>
  <c r="G244" i="35" s="1"/>
  <c r="T85" i="35"/>
  <c r="G233" i="35" s="1"/>
  <c r="N85" i="35"/>
  <c r="H232" i="35" s="1"/>
  <c r="M85" i="35"/>
  <c r="G232" i="35" s="1"/>
  <c r="G85" i="35"/>
  <c r="H231" i="35" s="1"/>
  <c r="F85" i="35"/>
  <c r="G231" i="35" s="1"/>
  <c r="T84" i="35"/>
  <c r="G220" i="35" s="1"/>
  <c r="N84" i="35"/>
  <c r="H219" i="35" s="1"/>
  <c r="M84" i="35"/>
  <c r="G219" i="35" s="1"/>
  <c r="G84" i="35"/>
  <c r="H218" i="35" s="1"/>
  <c r="F84" i="35"/>
  <c r="G218" i="35" s="1"/>
  <c r="S83" i="35"/>
  <c r="R83" i="35"/>
  <c r="Q83" i="35"/>
  <c r="L83" i="35"/>
  <c r="K83" i="35"/>
  <c r="J83" i="35"/>
  <c r="E83" i="35"/>
  <c r="D83" i="35"/>
  <c r="C83" i="35"/>
  <c r="P82" i="35"/>
  <c r="T81" i="35"/>
  <c r="P204" i="35" s="1"/>
  <c r="N81" i="35"/>
  <c r="Q203" i="35" s="1"/>
  <c r="M81" i="35"/>
  <c r="P203" i="35" s="1"/>
  <c r="F81" i="35"/>
  <c r="P202" i="35" s="1"/>
  <c r="U80" i="35"/>
  <c r="Q191" i="35" s="1"/>
  <c r="T80" i="35"/>
  <c r="P191" i="35" s="1"/>
  <c r="N80" i="35"/>
  <c r="Q190" i="35" s="1"/>
  <c r="M80" i="35"/>
  <c r="P190" i="35" s="1"/>
  <c r="G80" i="35"/>
  <c r="Q189" i="35" s="1"/>
  <c r="F80" i="35"/>
  <c r="P189" i="35" s="1"/>
  <c r="U79" i="35"/>
  <c r="Q178" i="35" s="1"/>
  <c r="T79" i="35"/>
  <c r="P178" i="35" s="1"/>
  <c r="N79" i="35"/>
  <c r="Q177" i="35" s="1"/>
  <c r="M79" i="35"/>
  <c r="P177" i="35" s="1"/>
  <c r="G79" i="35"/>
  <c r="Q176" i="35" s="1"/>
  <c r="F79" i="35"/>
  <c r="P176" i="35" s="1"/>
  <c r="U78" i="35"/>
  <c r="Q165" i="35" s="1"/>
  <c r="T78" i="35"/>
  <c r="P165" i="35" s="1"/>
  <c r="N78" i="35"/>
  <c r="Q164" i="35" s="1"/>
  <c r="M78" i="35"/>
  <c r="P164" i="35" s="1"/>
  <c r="G78" i="35"/>
  <c r="Q163" i="35" s="1"/>
  <c r="F78" i="35"/>
  <c r="P163" i="35" s="1"/>
  <c r="U77" i="35"/>
  <c r="Q152" i="35" s="1"/>
  <c r="T77" i="35"/>
  <c r="P152" i="35" s="1"/>
  <c r="N77" i="35"/>
  <c r="Q151" i="35" s="1"/>
  <c r="M77" i="35"/>
  <c r="P151" i="35" s="1"/>
  <c r="G77" i="35"/>
  <c r="Q150" i="35" s="1"/>
  <c r="F77" i="35"/>
  <c r="P150" i="35" s="1"/>
  <c r="T76" i="35"/>
  <c r="P139" i="35" s="1"/>
  <c r="N76" i="35"/>
  <c r="Q138" i="35" s="1"/>
  <c r="M76" i="35"/>
  <c r="P138" i="35" s="1"/>
  <c r="F76" i="35"/>
  <c r="P137" i="35" s="1"/>
  <c r="S75" i="35"/>
  <c r="R75" i="35"/>
  <c r="Q75" i="35"/>
  <c r="L75" i="35"/>
  <c r="K75" i="35"/>
  <c r="J75" i="35"/>
  <c r="E75" i="35"/>
  <c r="D75" i="35"/>
  <c r="C75" i="35"/>
  <c r="P74" i="35"/>
  <c r="I74" i="35"/>
  <c r="U73" i="35"/>
  <c r="H204" i="35" s="1"/>
  <c r="T73" i="35"/>
  <c r="G204" i="35" s="1"/>
  <c r="N73" i="35"/>
  <c r="H203" i="35" s="1"/>
  <c r="M73" i="35"/>
  <c r="G203" i="35" s="1"/>
  <c r="G73" i="35"/>
  <c r="H202" i="35" s="1"/>
  <c r="F73" i="35"/>
  <c r="G202" i="35" s="1"/>
  <c r="U72" i="35"/>
  <c r="H191" i="35" s="1"/>
  <c r="T72" i="35"/>
  <c r="G191" i="35" s="1"/>
  <c r="N72" i="35"/>
  <c r="H190" i="35" s="1"/>
  <c r="M72" i="35"/>
  <c r="G190" i="35" s="1"/>
  <c r="G72" i="35"/>
  <c r="H189" i="35" s="1"/>
  <c r="F72" i="35"/>
  <c r="G189" i="35" s="1"/>
  <c r="U71" i="35"/>
  <c r="H178" i="35" s="1"/>
  <c r="T71" i="35"/>
  <c r="G178" i="35" s="1"/>
  <c r="N71" i="35"/>
  <c r="H177" i="35" s="1"/>
  <c r="M71" i="35"/>
  <c r="G177" i="35" s="1"/>
  <c r="G71" i="35"/>
  <c r="H176" i="35" s="1"/>
  <c r="F71" i="35"/>
  <c r="G176" i="35" s="1"/>
  <c r="U70" i="35"/>
  <c r="H165" i="35" s="1"/>
  <c r="T70" i="35"/>
  <c r="G165" i="35" s="1"/>
  <c r="N70" i="35"/>
  <c r="H164" i="35" s="1"/>
  <c r="M70" i="35"/>
  <c r="G164" i="35" s="1"/>
  <c r="G70" i="35"/>
  <c r="H163" i="35" s="1"/>
  <c r="F70" i="35"/>
  <c r="G163" i="35" s="1"/>
  <c r="U69" i="35"/>
  <c r="H152" i="35" s="1"/>
  <c r="T69" i="35"/>
  <c r="G152" i="35" s="1"/>
  <c r="N69" i="35"/>
  <c r="H151" i="35" s="1"/>
  <c r="M69" i="35"/>
  <c r="G151" i="35" s="1"/>
  <c r="G69" i="35"/>
  <c r="H150" i="35" s="1"/>
  <c r="F69" i="35"/>
  <c r="G150" i="35" s="1"/>
  <c r="U68" i="35"/>
  <c r="H139" i="35" s="1"/>
  <c r="T68" i="35"/>
  <c r="G139" i="35" s="1"/>
  <c r="N68" i="35"/>
  <c r="H138" i="35" s="1"/>
  <c r="M68" i="35"/>
  <c r="G138" i="35" s="1"/>
  <c r="G68" i="35"/>
  <c r="H137" i="35" s="1"/>
  <c r="F68" i="35"/>
  <c r="G137" i="35" s="1"/>
  <c r="P66" i="35"/>
  <c r="I66" i="35"/>
  <c r="U62" i="35"/>
  <c r="Q256" i="35" s="1"/>
  <c r="T62" i="35"/>
  <c r="P256" i="35" s="1"/>
  <c r="N62" i="35"/>
  <c r="Q255" i="35" s="1"/>
  <c r="M62" i="35"/>
  <c r="P255" i="35" s="1"/>
  <c r="G62" i="35"/>
  <c r="Q254" i="35" s="1"/>
  <c r="F62" i="35"/>
  <c r="P254" i="35" s="1"/>
  <c r="U61" i="35"/>
  <c r="Q243" i="35" s="1"/>
  <c r="T61" i="35"/>
  <c r="P243" i="35" s="1"/>
  <c r="N61" i="35"/>
  <c r="Q242" i="35" s="1"/>
  <c r="M61" i="35"/>
  <c r="P242" i="35" s="1"/>
  <c r="G61" i="35"/>
  <c r="Q241" i="35" s="1"/>
  <c r="F61" i="35"/>
  <c r="P241" i="35" s="1"/>
  <c r="U60" i="35"/>
  <c r="Q230" i="35" s="1"/>
  <c r="T60" i="35"/>
  <c r="P230" i="35" s="1"/>
  <c r="N60" i="35"/>
  <c r="Q229" i="35" s="1"/>
  <c r="M60" i="35"/>
  <c r="P229" i="35" s="1"/>
  <c r="G60" i="35"/>
  <c r="Q228" i="35" s="1"/>
  <c r="F60" i="35"/>
  <c r="P228" i="35" s="1"/>
  <c r="U59" i="35"/>
  <c r="Q217" i="35" s="1"/>
  <c r="T59" i="35"/>
  <c r="P217" i="35" s="1"/>
  <c r="N59" i="35"/>
  <c r="Q216" i="35" s="1"/>
  <c r="M59" i="35"/>
  <c r="P216" i="35" s="1"/>
  <c r="G59" i="35"/>
  <c r="Q215" i="35" s="1"/>
  <c r="F59" i="35"/>
  <c r="P215" i="35" s="1"/>
  <c r="S58" i="35"/>
  <c r="R58" i="35"/>
  <c r="Q58" i="35"/>
  <c r="L58" i="35"/>
  <c r="K58" i="35"/>
  <c r="J58" i="35"/>
  <c r="E58" i="35"/>
  <c r="D58" i="35"/>
  <c r="C58" i="35"/>
  <c r="B57" i="35"/>
  <c r="I57" i="35" s="1"/>
  <c r="P57" i="35" s="1"/>
  <c r="U56" i="35"/>
  <c r="H256" i="35" s="1"/>
  <c r="T56" i="35"/>
  <c r="G256" i="35" s="1"/>
  <c r="N56" i="35"/>
  <c r="H255" i="35" s="1"/>
  <c r="M56" i="35"/>
  <c r="G255" i="35" s="1"/>
  <c r="G56" i="35"/>
  <c r="H254" i="35" s="1"/>
  <c r="F56" i="35"/>
  <c r="G254" i="35" s="1"/>
  <c r="U55" i="35"/>
  <c r="H243" i="35" s="1"/>
  <c r="T55" i="35"/>
  <c r="G243" i="35" s="1"/>
  <c r="N55" i="35"/>
  <c r="H242" i="35" s="1"/>
  <c r="M55" i="35"/>
  <c r="G242" i="35" s="1"/>
  <c r="G55" i="35"/>
  <c r="H241" i="35" s="1"/>
  <c r="F55" i="35"/>
  <c r="G241" i="35" s="1"/>
  <c r="U54" i="35"/>
  <c r="H230" i="35" s="1"/>
  <c r="T54" i="35"/>
  <c r="G230" i="35" s="1"/>
  <c r="N54" i="35"/>
  <c r="H229" i="35" s="1"/>
  <c r="M54" i="35"/>
  <c r="G229" i="35" s="1"/>
  <c r="G54" i="35"/>
  <c r="H228" i="35" s="1"/>
  <c r="F54" i="35"/>
  <c r="G228" i="35" s="1"/>
  <c r="U53" i="35"/>
  <c r="H217" i="35" s="1"/>
  <c r="T53" i="35"/>
  <c r="G217" i="35" s="1"/>
  <c r="N53" i="35"/>
  <c r="H216" i="35" s="1"/>
  <c r="M53" i="35"/>
  <c r="G216" i="35" s="1"/>
  <c r="G53" i="35"/>
  <c r="H215" i="35" s="1"/>
  <c r="F53" i="35"/>
  <c r="G215" i="35" s="1"/>
  <c r="S52" i="35"/>
  <c r="R52" i="35"/>
  <c r="Q52" i="35"/>
  <c r="L52" i="35"/>
  <c r="K52" i="35"/>
  <c r="J52" i="35"/>
  <c r="E52" i="35"/>
  <c r="D52" i="35"/>
  <c r="C52" i="35"/>
  <c r="B51" i="35"/>
  <c r="I51" i="35" s="1"/>
  <c r="P51" i="35" s="1"/>
  <c r="T50" i="35"/>
  <c r="P201" i="35" s="1"/>
  <c r="M50" i="35"/>
  <c r="P200" i="35" s="1"/>
  <c r="G50" i="35"/>
  <c r="Q199" i="35" s="1"/>
  <c r="F50" i="35"/>
  <c r="P199" i="35" s="1"/>
  <c r="U49" i="35"/>
  <c r="Q188" i="35" s="1"/>
  <c r="T49" i="35"/>
  <c r="P188" i="35" s="1"/>
  <c r="N49" i="35"/>
  <c r="Q187" i="35" s="1"/>
  <c r="M49" i="35"/>
  <c r="P187" i="35" s="1"/>
  <c r="G49" i="35"/>
  <c r="Q186" i="35" s="1"/>
  <c r="F49" i="35"/>
  <c r="P186" i="35" s="1"/>
  <c r="U48" i="35"/>
  <c r="Q175" i="35" s="1"/>
  <c r="T48" i="35"/>
  <c r="P175" i="35" s="1"/>
  <c r="N48" i="35"/>
  <c r="Q174" i="35" s="1"/>
  <c r="M48" i="35"/>
  <c r="P174" i="35" s="1"/>
  <c r="G48" i="35"/>
  <c r="Q173" i="35" s="1"/>
  <c r="F48" i="35"/>
  <c r="P173" i="35" s="1"/>
  <c r="U47" i="35"/>
  <c r="Q162" i="35" s="1"/>
  <c r="T47" i="35"/>
  <c r="P162" i="35" s="1"/>
  <c r="N47" i="35"/>
  <c r="Q161" i="35" s="1"/>
  <c r="M47" i="35"/>
  <c r="P161" i="35" s="1"/>
  <c r="G47" i="35"/>
  <c r="Q160" i="35" s="1"/>
  <c r="F47" i="35"/>
  <c r="P160" i="35" s="1"/>
  <c r="U46" i="35"/>
  <c r="Q149" i="35" s="1"/>
  <c r="T46" i="35"/>
  <c r="P149" i="35" s="1"/>
  <c r="N46" i="35"/>
  <c r="Q148" i="35" s="1"/>
  <c r="M46" i="35"/>
  <c r="P148" i="35" s="1"/>
  <c r="G46" i="35"/>
  <c r="Q147" i="35" s="1"/>
  <c r="F46" i="35"/>
  <c r="P147" i="35" s="1"/>
  <c r="T45" i="35"/>
  <c r="P136" i="35" s="1"/>
  <c r="N45" i="35"/>
  <c r="Q135" i="35" s="1"/>
  <c r="M45" i="35"/>
  <c r="P135" i="35" s="1"/>
  <c r="F45" i="35"/>
  <c r="P134" i="35" s="1"/>
  <c r="S44" i="35"/>
  <c r="R44" i="35"/>
  <c r="Q44" i="35"/>
  <c r="L44" i="35"/>
  <c r="K44" i="35"/>
  <c r="J44" i="35"/>
  <c r="E44" i="35"/>
  <c r="D44" i="35"/>
  <c r="C44" i="35"/>
  <c r="B43" i="35"/>
  <c r="I43" i="35" s="1"/>
  <c r="P43" i="35" s="1"/>
  <c r="U42" i="35"/>
  <c r="H201" i="35" s="1"/>
  <c r="T42" i="35"/>
  <c r="G201" i="35" s="1"/>
  <c r="M42" i="35"/>
  <c r="G200" i="35" s="1"/>
  <c r="F42" i="35"/>
  <c r="G199" i="35" s="1"/>
  <c r="U41" i="35"/>
  <c r="H188" i="35" s="1"/>
  <c r="T41" i="35"/>
  <c r="G188" i="35" s="1"/>
  <c r="N41" i="35"/>
  <c r="H187" i="35" s="1"/>
  <c r="M41" i="35"/>
  <c r="G187" i="35" s="1"/>
  <c r="G41" i="35"/>
  <c r="H186" i="35" s="1"/>
  <c r="F41" i="35"/>
  <c r="G186" i="35" s="1"/>
  <c r="U40" i="35"/>
  <c r="H175" i="35" s="1"/>
  <c r="T40" i="35"/>
  <c r="G175" i="35" s="1"/>
  <c r="N40" i="35"/>
  <c r="H174" i="35" s="1"/>
  <c r="M40" i="35"/>
  <c r="G174" i="35" s="1"/>
  <c r="G40" i="35"/>
  <c r="H173" i="35" s="1"/>
  <c r="F40" i="35"/>
  <c r="G173" i="35" s="1"/>
  <c r="U39" i="35"/>
  <c r="H162" i="35" s="1"/>
  <c r="T39" i="35"/>
  <c r="G162" i="35" s="1"/>
  <c r="N39" i="35"/>
  <c r="H161" i="35" s="1"/>
  <c r="M39" i="35"/>
  <c r="G161" i="35" s="1"/>
  <c r="G39" i="35"/>
  <c r="H160" i="35" s="1"/>
  <c r="F39" i="35"/>
  <c r="G160" i="35" s="1"/>
  <c r="U38" i="35"/>
  <c r="H149" i="35" s="1"/>
  <c r="T38" i="35"/>
  <c r="G149" i="35" s="1"/>
  <c r="N38" i="35"/>
  <c r="H148" i="35" s="1"/>
  <c r="M38" i="35"/>
  <c r="G148" i="35" s="1"/>
  <c r="G38" i="35"/>
  <c r="H147" i="35" s="1"/>
  <c r="F38" i="35"/>
  <c r="G147" i="35" s="1"/>
  <c r="U37" i="35"/>
  <c r="H136" i="35" s="1"/>
  <c r="T37" i="35"/>
  <c r="G136" i="35" s="1"/>
  <c r="N37" i="35"/>
  <c r="H135" i="35" s="1"/>
  <c r="M37" i="35"/>
  <c r="G135" i="35" s="1"/>
  <c r="G37" i="35"/>
  <c r="H134" i="35" s="1"/>
  <c r="F37" i="35"/>
  <c r="G134" i="35" s="1"/>
  <c r="B35" i="35"/>
  <c r="I35" i="35" s="1"/>
  <c r="P35" i="35" s="1"/>
  <c r="U31" i="35"/>
  <c r="Q253" i="35" s="1"/>
  <c r="T31" i="35"/>
  <c r="P253" i="35" s="1"/>
  <c r="N31" i="35"/>
  <c r="Q252" i="35" s="1"/>
  <c r="M31" i="35"/>
  <c r="P252" i="35" s="1"/>
  <c r="G31" i="35"/>
  <c r="Q251" i="35" s="1"/>
  <c r="F31" i="35"/>
  <c r="P251" i="35" s="1"/>
  <c r="U30" i="35"/>
  <c r="Q240" i="35" s="1"/>
  <c r="T30" i="35"/>
  <c r="P240" i="35" s="1"/>
  <c r="N30" i="35"/>
  <c r="Q239" i="35" s="1"/>
  <c r="M30" i="35"/>
  <c r="P239" i="35" s="1"/>
  <c r="G30" i="35"/>
  <c r="Q238" i="35" s="1"/>
  <c r="F30" i="35"/>
  <c r="P238" i="35" s="1"/>
  <c r="U29" i="35"/>
  <c r="Q227" i="35" s="1"/>
  <c r="T29" i="35"/>
  <c r="P227" i="35" s="1"/>
  <c r="N29" i="35"/>
  <c r="Q226" i="35" s="1"/>
  <c r="M29" i="35"/>
  <c r="P226" i="35" s="1"/>
  <c r="G29" i="35"/>
  <c r="Q225" i="35" s="1"/>
  <c r="F29" i="35"/>
  <c r="P225" i="35" s="1"/>
  <c r="U28" i="35"/>
  <c r="Q214" i="35" s="1"/>
  <c r="T28" i="35"/>
  <c r="P214" i="35" s="1"/>
  <c r="N28" i="35"/>
  <c r="Q213" i="35" s="1"/>
  <c r="M28" i="35"/>
  <c r="P213" i="35" s="1"/>
  <c r="G28" i="35"/>
  <c r="Q212" i="35" s="1"/>
  <c r="F28" i="35"/>
  <c r="P212" i="35" s="1"/>
  <c r="S27" i="35"/>
  <c r="R27" i="35"/>
  <c r="Q27" i="35"/>
  <c r="L27" i="35"/>
  <c r="K27" i="35"/>
  <c r="J27" i="35"/>
  <c r="E27" i="35"/>
  <c r="D27" i="35"/>
  <c r="C27" i="35"/>
  <c r="P26" i="35"/>
  <c r="I26" i="35"/>
  <c r="U25" i="35"/>
  <c r="H253" i="35" s="1"/>
  <c r="T25" i="35"/>
  <c r="G253" i="35" s="1"/>
  <c r="N25" i="35"/>
  <c r="H252" i="35" s="1"/>
  <c r="M25" i="35"/>
  <c r="G252" i="35" s="1"/>
  <c r="F25" i="35"/>
  <c r="G251" i="35" s="1"/>
  <c r="U24" i="35"/>
  <c r="H240" i="35" s="1"/>
  <c r="T24" i="35"/>
  <c r="G240" i="35" s="1"/>
  <c r="N24" i="35"/>
  <c r="H239" i="35" s="1"/>
  <c r="M24" i="35"/>
  <c r="G239" i="35" s="1"/>
  <c r="F24" i="35"/>
  <c r="G238" i="35" s="1"/>
  <c r="U23" i="35"/>
  <c r="H227" i="35" s="1"/>
  <c r="T23" i="35"/>
  <c r="G227" i="35" s="1"/>
  <c r="N23" i="35"/>
  <c r="H226" i="35" s="1"/>
  <c r="M23" i="35"/>
  <c r="G226" i="35" s="1"/>
  <c r="F23" i="35"/>
  <c r="G225" i="35" s="1"/>
  <c r="U22" i="35"/>
  <c r="H214" i="35" s="1"/>
  <c r="T22" i="35"/>
  <c r="G214" i="35" s="1"/>
  <c r="N22" i="35"/>
  <c r="H213" i="35" s="1"/>
  <c r="M22" i="35"/>
  <c r="G213" i="35" s="1"/>
  <c r="F22" i="35"/>
  <c r="G212" i="35" s="1"/>
  <c r="S21" i="35"/>
  <c r="R21" i="35"/>
  <c r="Q21" i="35"/>
  <c r="L21" i="35"/>
  <c r="K21" i="35"/>
  <c r="J21" i="35"/>
  <c r="E21" i="35"/>
  <c r="D21" i="35"/>
  <c r="C21" i="35"/>
  <c r="P20" i="35"/>
  <c r="I20" i="35"/>
  <c r="U19" i="35"/>
  <c r="Q198" i="35" s="1"/>
  <c r="T19" i="35"/>
  <c r="P198" i="35" s="1"/>
  <c r="M19" i="35"/>
  <c r="P197" i="35" s="1"/>
  <c r="F19" i="35"/>
  <c r="P196" i="35" s="1"/>
  <c r="U18" i="35"/>
  <c r="Q185" i="35" s="1"/>
  <c r="T18" i="35"/>
  <c r="P185" i="35" s="1"/>
  <c r="N18" i="35"/>
  <c r="Q184" i="35" s="1"/>
  <c r="M18" i="35"/>
  <c r="P184" i="35" s="1"/>
  <c r="G18" i="35"/>
  <c r="Q183" i="35" s="1"/>
  <c r="F18" i="35"/>
  <c r="P183" i="35" s="1"/>
  <c r="U17" i="35"/>
  <c r="Q172" i="35" s="1"/>
  <c r="T17" i="35"/>
  <c r="P172" i="35" s="1"/>
  <c r="N17" i="35"/>
  <c r="Q171" i="35" s="1"/>
  <c r="M17" i="35"/>
  <c r="P171" i="35" s="1"/>
  <c r="G17" i="35"/>
  <c r="Q170" i="35" s="1"/>
  <c r="F17" i="35"/>
  <c r="P170" i="35" s="1"/>
  <c r="U16" i="35"/>
  <c r="Q159" i="35" s="1"/>
  <c r="T16" i="35"/>
  <c r="P159" i="35" s="1"/>
  <c r="N16" i="35"/>
  <c r="Q158" i="35" s="1"/>
  <c r="M16" i="35"/>
  <c r="P158" i="35" s="1"/>
  <c r="G16" i="35"/>
  <c r="Q157" i="35" s="1"/>
  <c r="F16" i="35"/>
  <c r="P157" i="35" s="1"/>
  <c r="U15" i="35"/>
  <c r="Q146" i="35" s="1"/>
  <c r="T15" i="35"/>
  <c r="P146" i="35" s="1"/>
  <c r="N15" i="35"/>
  <c r="Q145" i="35" s="1"/>
  <c r="M15" i="35"/>
  <c r="P145" i="35" s="1"/>
  <c r="G15" i="35"/>
  <c r="Q144" i="35" s="1"/>
  <c r="F15" i="35"/>
  <c r="P144" i="35" s="1"/>
  <c r="U14" i="35"/>
  <c r="Q133" i="35" s="1"/>
  <c r="T14" i="35"/>
  <c r="P133" i="35" s="1"/>
  <c r="M14" i="35"/>
  <c r="P132" i="35" s="1"/>
  <c r="F14" i="35"/>
  <c r="P131" i="35" s="1"/>
  <c r="S13" i="35"/>
  <c r="R13" i="35"/>
  <c r="Q13" i="35"/>
  <c r="L13" i="35"/>
  <c r="K13" i="35"/>
  <c r="J13" i="35"/>
  <c r="E13" i="35"/>
  <c r="D13" i="35"/>
  <c r="C13" i="35"/>
  <c r="P12" i="35"/>
  <c r="I12" i="35"/>
  <c r="U11" i="35"/>
  <c r="H198" i="35" s="1"/>
  <c r="T11" i="35"/>
  <c r="G198" i="35" s="1"/>
  <c r="M11" i="35"/>
  <c r="G197" i="35" s="1"/>
  <c r="G11" i="35"/>
  <c r="H196" i="35" s="1"/>
  <c r="F11" i="35"/>
  <c r="G196" i="35" s="1"/>
  <c r="U10" i="35"/>
  <c r="H185" i="35" s="1"/>
  <c r="T10" i="35"/>
  <c r="G185" i="35" s="1"/>
  <c r="N10" i="35"/>
  <c r="H184" i="35" s="1"/>
  <c r="M10" i="35"/>
  <c r="G184" i="35" s="1"/>
  <c r="G10" i="35"/>
  <c r="H183" i="35" s="1"/>
  <c r="F10" i="35"/>
  <c r="G183" i="35" s="1"/>
  <c r="U9" i="35"/>
  <c r="H172" i="35" s="1"/>
  <c r="T9" i="35"/>
  <c r="G172" i="35" s="1"/>
  <c r="N9" i="35"/>
  <c r="H171" i="35" s="1"/>
  <c r="M9" i="35"/>
  <c r="G171" i="35" s="1"/>
  <c r="G9" i="35"/>
  <c r="H170" i="35" s="1"/>
  <c r="F9" i="35"/>
  <c r="G170" i="35" s="1"/>
  <c r="U8" i="35"/>
  <c r="H159" i="35" s="1"/>
  <c r="T8" i="35"/>
  <c r="G159" i="35" s="1"/>
  <c r="N8" i="35"/>
  <c r="H158" i="35" s="1"/>
  <c r="M8" i="35"/>
  <c r="G158" i="35" s="1"/>
  <c r="G8" i="35"/>
  <c r="H157" i="35" s="1"/>
  <c r="F8" i="35"/>
  <c r="G157" i="35" s="1"/>
  <c r="U7" i="35"/>
  <c r="H146" i="35" s="1"/>
  <c r="T7" i="35"/>
  <c r="G146" i="35" s="1"/>
  <c r="N7" i="35"/>
  <c r="H145" i="35" s="1"/>
  <c r="M7" i="35"/>
  <c r="G145" i="35" s="1"/>
  <c r="G7" i="35"/>
  <c r="H144" i="35" s="1"/>
  <c r="F7" i="35"/>
  <c r="G144" i="35" s="1"/>
  <c r="U6" i="35"/>
  <c r="H133" i="35" s="1"/>
  <c r="T6" i="35"/>
  <c r="G133" i="35" s="1"/>
  <c r="N6" i="35"/>
  <c r="H132" i="35" s="1"/>
  <c r="M6" i="35"/>
  <c r="G132" i="35" s="1"/>
  <c r="G6" i="35"/>
  <c r="H131" i="35" s="1"/>
  <c r="F6" i="35"/>
  <c r="G131" i="35" s="1"/>
  <c r="P4" i="35"/>
  <c r="I4" i="35"/>
  <c r="A389" i="34"/>
  <c r="B373" i="34" s="1"/>
  <c r="V378" i="34"/>
  <c r="V377" i="34"/>
  <c r="T378" i="34"/>
  <c r="T377" i="34"/>
  <c r="A410" i="34"/>
  <c r="A373" i="34" s="1"/>
  <c r="K409" i="34"/>
  <c r="J409" i="34"/>
  <c r="I409" i="34"/>
  <c r="K408" i="34"/>
  <c r="J408" i="34"/>
  <c r="I408" i="34"/>
  <c r="K407" i="34"/>
  <c r="J407" i="34"/>
  <c r="I407" i="34"/>
  <c r="K406" i="34"/>
  <c r="J406" i="34"/>
  <c r="I406" i="34"/>
  <c r="K405" i="34"/>
  <c r="J405" i="34"/>
  <c r="I405" i="34"/>
  <c r="K404" i="34"/>
  <c r="J404" i="34"/>
  <c r="I404" i="34"/>
  <c r="K403" i="34"/>
  <c r="J403" i="34"/>
  <c r="I403" i="34"/>
  <c r="K402" i="34"/>
  <c r="J402" i="34"/>
  <c r="I402" i="34"/>
  <c r="K401" i="34"/>
  <c r="J401" i="34"/>
  <c r="I401" i="34"/>
  <c r="K400" i="34"/>
  <c r="J400" i="34"/>
  <c r="I400" i="34"/>
  <c r="K399" i="34"/>
  <c r="J399" i="34"/>
  <c r="I399" i="34"/>
  <c r="K398" i="34"/>
  <c r="J398" i="34"/>
  <c r="I398" i="34"/>
  <c r="K397" i="34"/>
  <c r="J397" i="34"/>
  <c r="I397" i="34"/>
  <c r="K396" i="34"/>
  <c r="J396" i="34"/>
  <c r="I396" i="34"/>
  <c r="K395" i="34"/>
  <c r="J395" i="34"/>
  <c r="I395" i="34"/>
  <c r="K394" i="34"/>
  <c r="J394" i="34"/>
  <c r="I394" i="34"/>
  <c r="K393" i="34"/>
  <c r="J393" i="34"/>
  <c r="I393" i="34"/>
  <c r="K392" i="34"/>
  <c r="J392" i="34"/>
  <c r="I392" i="34"/>
  <c r="K391" i="34"/>
  <c r="J391" i="34"/>
  <c r="I391" i="34"/>
  <c r="K390" i="34"/>
  <c r="J390" i="34"/>
  <c r="I390" i="34"/>
  <c r="V371" i="34"/>
  <c r="U371" i="34"/>
  <c r="T371" i="34"/>
  <c r="S371" i="34"/>
  <c r="N371" i="34"/>
  <c r="M371" i="34"/>
  <c r="L371" i="34"/>
  <c r="K371" i="34"/>
  <c r="F371" i="34"/>
  <c r="E371" i="34"/>
  <c r="D371" i="34"/>
  <c r="C371" i="34"/>
  <c r="V370" i="34"/>
  <c r="U370" i="34"/>
  <c r="T370" i="34"/>
  <c r="S370" i="34"/>
  <c r="N370" i="34"/>
  <c r="M370" i="34"/>
  <c r="L370" i="34"/>
  <c r="K370" i="34"/>
  <c r="F370" i="34"/>
  <c r="E370" i="34"/>
  <c r="D370" i="34"/>
  <c r="C370" i="34"/>
  <c r="V369" i="34"/>
  <c r="U369" i="34"/>
  <c r="T369" i="34"/>
  <c r="S369" i="34"/>
  <c r="N369" i="34"/>
  <c r="M369" i="34"/>
  <c r="L369" i="34"/>
  <c r="K369" i="34"/>
  <c r="F369" i="34"/>
  <c r="E369" i="34"/>
  <c r="D369" i="34"/>
  <c r="C369" i="34"/>
  <c r="V368" i="34"/>
  <c r="U368" i="34"/>
  <c r="T368" i="34"/>
  <c r="S368" i="34"/>
  <c r="N368" i="34"/>
  <c r="M368" i="34"/>
  <c r="L368" i="34"/>
  <c r="K368" i="34"/>
  <c r="F368" i="34"/>
  <c r="E368" i="34"/>
  <c r="D368" i="34"/>
  <c r="C368" i="34"/>
  <c r="V367" i="34"/>
  <c r="U367" i="34"/>
  <c r="T367" i="34"/>
  <c r="S367" i="34"/>
  <c r="N367" i="34"/>
  <c r="M367" i="34"/>
  <c r="L367" i="34"/>
  <c r="K367" i="34"/>
  <c r="F367" i="34"/>
  <c r="E367" i="34"/>
  <c r="D367" i="34"/>
  <c r="C367" i="34"/>
  <c r="U366" i="34"/>
  <c r="T366" i="34"/>
  <c r="S366" i="34"/>
  <c r="M366" i="34"/>
  <c r="L366" i="34"/>
  <c r="K366" i="34"/>
  <c r="E366" i="34"/>
  <c r="D366" i="34"/>
  <c r="C366" i="34"/>
  <c r="U365" i="34"/>
  <c r="T365" i="34"/>
  <c r="S365" i="34"/>
  <c r="M365" i="34"/>
  <c r="L365" i="34"/>
  <c r="K365" i="34"/>
  <c r="E365" i="34"/>
  <c r="D365" i="34"/>
  <c r="C365" i="34"/>
  <c r="U364" i="34"/>
  <c r="S364" i="34"/>
  <c r="M364" i="34"/>
  <c r="L364" i="34"/>
  <c r="K364" i="34"/>
  <c r="E364" i="34"/>
  <c r="D364" i="34"/>
  <c r="C364" i="34"/>
  <c r="V363" i="34"/>
  <c r="U363" i="34"/>
  <c r="T363" i="34"/>
  <c r="S363" i="34"/>
  <c r="N363" i="34"/>
  <c r="M363" i="34"/>
  <c r="L363" i="34"/>
  <c r="K363" i="34"/>
  <c r="F363" i="34"/>
  <c r="E363" i="34"/>
  <c r="D363" i="34"/>
  <c r="C363" i="34"/>
  <c r="V362" i="34"/>
  <c r="U362" i="34"/>
  <c r="T362" i="34"/>
  <c r="S362" i="34"/>
  <c r="N362" i="34"/>
  <c r="M362" i="34"/>
  <c r="L362" i="34"/>
  <c r="K362" i="34"/>
  <c r="F362" i="34"/>
  <c r="E362" i="34"/>
  <c r="D362" i="34"/>
  <c r="C362" i="34"/>
  <c r="V361" i="34"/>
  <c r="U361" i="34"/>
  <c r="T361" i="34"/>
  <c r="S361" i="34"/>
  <c r="N361" i="34"/>
  <c r="M361" i="34"/>
  <c r="L361" i="34"/>
  <c r="K361" i="34"/>
  <c r="F361" i="34"/>
  <c r="E361" i="34"/>
  <c r="D361" i="34"/>
  <c r="C361" i="34"/>
  <c r="V360" i="34"/>
  <c r="U360" i="34"/>
  <c r="T360" i="34"/>
  <c r="S360" i="34"/>
  <c r="N360" i="34"/>
  <c r="M360" i="34"/>
  <c r="L360" i="34"/>
  <c r="K360" i="34"/>
  <c r="F360" i="34"/>
  <c r="E360" i="34"/>
  <c r="D360" i="34"/>
  <c r="C360" i="34"/>
  <c r="V359" i="34"/>
  <c r="U359" i="34"/>
  <c r="T359" i="34"/>
  <c r="S359" i="34"/>
  <c r="N359" i="34"/>
  <c r="M359" i="34"/>
  <c r="L359" i="34"/>
  <c r="K359" i="34"/>
  <c r="F359" i="34"/>
  <c r="E359" i="34"/>
  <c r="D359" i="34"/>
  <c r="C359" i="34"/>
  <c r="V358" i="34"/>
  <c r="U358" i="34"/>
  <c r="T358" i="34"/>
  <c r="S358" i="34"/>
  <c r="N358" i="34"/>
  <c r="M358" i="34"/>
  <c r="L358" i="34"/>
  <c r="K358" i="34"/>
  <c r="F358" i="34"/>
  <c r="E358" i="34"/>
  <c r="D358" i="34"/>
  <c r="C358" i="34"/>
  <c r="V357" i="34"/>
  <c r="U357" i="34"/>
  <c r="T357" i="34"/>
  <c r="S357" i="34"/>
  <c r="N357" i="34"/>
  <c r="M357" i="34"/>
  <c r="L357" i="34"/>
  <c r="K357" i="34"/>
  <c r="F357" i="34"/>
  <c r="E357" i="34"/>
  <c r="D357" i="34"/>
  <c r="C357" i="34"/>
  <c r="V356" i="34"/>
  <c r="U356" i="34"/>
  <c r="T356" i="34"/>
  <c r="S356" i="34"/>
  <c r="N356" i="34"/>
  <c r="M356" i="34"/>
  <c r="L356" i="34"/>
  <c r="K356" i="34"/>
  <c r="F356" i="34"/>
  <c r="E356" i="34"/>
  <c r="D356" i="34"/>
  <c r="C356" i="34"/>
  <c r="V355" i="34"/>
  <c r="U355" i="34"/>
  <c r="T355" i="34"/>
  <c r="S355" i="34"/>
  <c r="N355" i="34"/>
  <c r="M355" i="34"/>
  <c r="L355" i="34"/>
  <c r="K355" i="34"/>
  <c r="F355" i="34"/>
  <c r="E355" i="34"/>
  <c r="D355" i="34"/>
  <c r="C355" i="34"/>
  <c r="V354" i="34"/>
  <c r="U354" i="34"/>
  <c r="T354" i="34"/>
  <c r="S354" i="34"/>
  <c r="N354" i="34"/>
  <c r="M354" i="34"/>
  <c r="L354" i="34"/>
  <c r="K354" i="34"/>
  <c r="F354" i="34"/>
  <c r="E354" i="34"/>
  <c r="D354" i="34"/>
  <c r="C354" i="34"/>
  <c r="V353" i="34"/>
  <c r="U353" i="34"/>
  <c r="T353" i="34"/>
  <c r="S353" i="34"/>
  <c r="N353" i="34"/>
  <c r="M353" i="34"/>
  <c r="L353" i="34"/>
  <c r="K353" i="34"/>
  <c r="F353" i="34"/>
  <c r="E353" i="34"/>
  <c r="D353" i="34"/>
  <c r="C353" i="34"/>
  <c r="V352" i="34"/>
  <c r="U352" i="34"/>
  <c r="T352" i="34"/>
  <c r="S352" i="34"/>
  <c r="N352" i="34"/>
  <c r="M352" i="34"/>
  <c r="L352" i="34"/>
  <c r="K352" i="34"/>
  <c r="F352" i="34"/>
  <c r="E352" i="34"/>
  <c r="D352" i="34"/>
  <c r="C352" i="34"/>
  <c r="V350" i="34"/>
  <c r="U350" i="34"/>
  <c r="T350" i="34"/>
  <c r="S350" i="34"/>
  <c r="N350" i="34"/>
  <c r="M350" i="34"/>
  <c r="L350" i="34"/>
  <c r="K350" i="34"/>
  <c r="F350" i="34"/>
  <c r="E350" i="34"/>
  <c r="D350" i="34"/>
  <c r="C350" i="34"/>
  <c r="V349" i="34"/>
  <c r="U349" i="34"/>
  <c r="T349" i="34"/>
  <c r="S349" i="34"/>
  <c r="N349" i="34"/>
  <c r="M349" i="34"/>
  <c r="L349" i="34"/>
  <c r="K349" i="34"/>
  <c r="F349" i="34"/>
  <c r="E349" i="34"/>
  <c r="D349" i="34"/>
  <c r="C349" i="34"/>
  <c r="V348" i="34"/>
  <c r="U348" i="34"/>
  <c r="T348" i="34"/>
  <c r="S348" i="34"/>
  <c r="N348" i="34"/>
  <c r="M348" i="34"/>
  <c r="L348" i="34"/>
  <c r="K348" i="34"/>
  <c r="F348" i="34"/>
  <c r="E348" i="34"/>
  <c r="D348" i="34"/>
  <c r="C348" i="34"/>
  <c r="V347" i="34"/>
  <c r="U347" i="34"/>
  <c r="T347" i="34"/>
  <c r="S347" i="34"/>
  <c r="N347" i="34"/>
  <c r="M347" i="34"/>
  <c r="L347" i="34"/>
  <c r="K347" i="34"/>
  <c r="F347" i="34"/>
  <c r="E347" i="34"/>
  <c r="D347" i="34"/>
  <c r="C347" i="34"/>
  <c r="V346" i="34"/>
  <c r="U346" i="34"/>
  <c r="T346" i="34"/>
  <c r="S346" i="34"/>
  <c r="N346" i="34"/>
  <c r="M346" i="34"/>
  <c r="L346" i="34"/>
  <c r="K346" i="34"/>
  <c r="F346" i="34"/>
  <c r="E346" i="34"/>
  <c r="D346" i="34"/>
  <c r="C346" i="34"/>
  <c r="U345" i="34"/>
  <c r="T345" i="34"/>
  <c r="S345" i="34"/>
  <c r="M345" i="34"/>
  <c r="L345" i="34"/>
  <c r="K345" i="34"/>
  <c r="E345" i="34"/>
  <c r="D345" i="34"/>
  <c r="C345" i="34"/>
  <c r="U344" i="34"/>
  <c r="T344" i="34"/>
  <c r="S344" i="34"/>
  <c r="M344" i="34"/>
  <c r="L344" i="34"/>
  <c r="K344" i="34"/>
  <c r="E344" i="34"/>
  <c r="D344" i="34"/>
  <c r="C344" i="34"/>
  <c r="U343" i="34"/>
  <c r="T343" i="34"/>
  <c r="S343" i="34"/>
  <c r="M343" i="34"/>
  <c r="L343" i="34"/>
  <c r="K343" i="34"/>
  <c r="E343" i="34"/>
  <c r="D343" i="34"/>
  <c r="C343" i="34"/>
  <c r="V342" i="34"/>
  <c r="U342" i="34"/>
  <c r="T342" i="34"/>
  <c r="S342" i="34"/>
  <c r="N342" i="34"/>
  <c r="M342" i="34"/>
  <c r="L342" i="34"/>
  <c r="K342" i="34"/>
  <c r="F342" i="34"/>
  <c r="E342" i="34"/>
  <c r="D342" i="34"/>
  <c r="C342" i="34"/>
  <c r="V341" i="34"/>
  <c r="U341" i="34"/>
  <c r="T341" i="34"/>
  <c r="S341" i="34"/>
  <c r="N341" i="34"/>
  <c r="M341" i="34"/>
  <c r="L341" i="34"/>
  <c r="K341" i="34"/>
  <c r="F341" i="34"/>
  <c r="E341" i="34"/>
  <c r="D341" i="34"/>
  <c r="C341" i="34"/>
  <c r="V340" i="34"/>
  <c r="U340" i="34"/>
  <c r="T340" i="34"/>
  <c r="S340" i="34"/>
  <c r="N340" i="34"/>
  <c r="M340" i="34"/>
  <c r="L340" i="34"/>
  <c r="K340" i="34"/>
  <c r="F340" i="34"/>
  <c r="E340" i="34"/>
  <c r="D340" i="34"/>
  <c r="C340" i="34"/>
  <c r="V339" i="34"/>
  <c r="U339" i="34"/>
  <c r="T339" i="34"/>
  <c r="S339" i="34"/>
  <c r="N339" i="34"/>
  <c r="M339" i="34"/>
  <c r="L339" i="34"/>
  <c r="K339" i="34"/>
  <c r="F339" i="34"/>
  <c r="E339" i="34"/>
  <c r="D339" i="34"/>
  <c r="C339" i="34"/>
  <c r="V338" i="34"/>
  <c r="U338" i="34"/>
  <c r="T338" i="34"/>
  <c r="S338" i="34"/>
  <c r="N338" i="34"/>
  <c r="M338" i="34"/>
  <c r="L338" i="34"/>
  <c r="K338" i="34"/>
  <c r="F338" i="34"/>
  <c r="E338" i="34"/>
  <c r="D338" i="34"/>
  <c r="C338" i="34"/>
  <c r="V337" i="34"/>
  <c r="U337" i="34"/>
  <c r="T337" i="34"/>
  <c r="S337" i="34"/>
  <c r="N337" i="34"/>
  <c r="M337" i="34"/>
  <c r="L337" i="34"/>
  <c r="K337" i="34"/>
  <c r="F337" i="34"/>
  <c r="E337" i="34"/>
  <c r="D337" i="34"/>
  <c r="C337" i="34"/>
  <c r="V336" i="34"/>
  <c r="U336" i="34"/>
  <c r="T336" i="34"/>
  <c r="S336" i="34"/>
  <c r="N336" i="34"/>
  <c r="M336" i="34"/>
  <c r="L336" i="34"/>
  <c r="K336" i="34"/>
  <c r="F336" i="34"/>
  <c r="E336" i="34"/>
  <c r="D336" i="34"/>
  <c r="C336" i="34"/>
  <c r="V335" i="34"/>
  <c r="U335" i="34"/>
  <c r="T335" i="34"/>
  <c r="S335" i="34"/>
  <c r="N335" i="34"/>
  <c r="M335" i="34"/>
  <c r="L335" i="34"/>
  <c r="K335" i="34"/>
  <c r="F335" i="34"/>
  <c r="E335" i="34"/>
  <c r="D335" i="34"/>
  <c r="C335" i="34"/>
  <c r="V334" i="34"/>
  <c r="U334" i="34"/>
  <c r="T334" i="34"/>
  <c r="S334" i="34"/>
  <c r="N334" i="34"/>
  <c r="M334" i="34"/>
  <c r="L334" i="34"/>
  <c r="K334" i="34"/>
  <c r="F334" i="34"/>
  <c r="E334" i="34"/>
  <c r="D334" i="34"/>
  <c r="C334" i="34"/>
  <c r="V333" i="34"/>
  <c r="U333" i="34"/>
  <c r="T333" i="34"/>
  <c r="S333" i="34"/>
  <c r="N333" i="34"/>
  <c r="M333" i="34"/>
  <c r="L333" i="34"/>
  <c r="K333" i="34"/>
  <c r="F333" i="34"/>
  <c r="E333" i="34"/>
  <c r="D333" i="34"/>
  <c r="C333" i="34"/>
  <c r="V332" i="34"/>
  <c r="U332" i="34"/>
  <c r="T332" i="34"/>
  <c r="S332" i="34"/>
  <c r="N332" i="34"/>
  <c r="M332" i="34"/>
  <c r="L332" i="34"/>
  <c r="K332" i="34"/>
  <c r="F332" i="34"/>
  <c r="E332" i="34"/>
  <c r="D332" i="34"/>
  <c r="C332" i="34"/>
  <c r="V331" i="34"/>
  <c r="U331" i="34"/>
  <c r="T331" i="34"/>
  <c r="S331" i="34"/>
  <c r="N331" i="34"/>
  <c r="M331" i="34"/>
  <c r="L331" i="34"/>
  <c r="K331" i="34"/>
  <c r="F331" i="34"/>
  <c r="E331" i="34"/>
  <c r="D331" i="34"/>
  <c r="C331" i="34"/>
  <c r="V329" i="34"/>
  <c r="U329" i="34"/>
  <c r="T329" i="34"/>
  <c r="S329" i="34"/>
  <c r="N329" i="34"/>
  <c r="M329" i="34"/>
  <c r="L329" i="34"/>
  <c r="K329" i="34"/>
  <c r="F329" i="34"/>
  <c r="E329" i="34"/>
  <c r="D329" i="34"/>
  <c r="C329" i="34"/>
  <c r="V328" i="34"/>
  <c r="U328" i="34"/>
  <c r="T328" i="34"/>
  <c r="S328" i="34"/>
  <c r="N328" i="34"/>
  <c r="M328" i="34"/>
  <c r="L328" i="34"/>
  <c r="K328" i="34"/>
  <c r="F328" i="34"/>
  <c r="E328" i="34"/>
  <c r="D328" i="34"/>
  <c r="C328" i="34"/>
  <c r="V327" i="34"/>
  <c r="U327" i="34"/>
  <c r="T327" i="34"/>
  <c r="S327" i="34"/>
  <c r="N327" i="34"/>
  <c r="M327" i="34"/>
  <c r="L327" i="34"/>
  <c r="K327" i="34"/>
  <c r="F327" i="34"/>
  <c r="E327" i="34"/>
  <c r="D327" i="34"/>
  <c r="C327" i="34"/>
  <c r="V326" i="34"/>
  <c r="U326" i="34"/>
  <c r="T326" i="34"/>
  <c r="S326" i="34"/>
  <c r="N326" i="34"/>
  <c r="M326" i="34"/>
  <c r="L326" i="34"/>
  <c r="K326" i="34"/>
  <c r="F326" i="34"/>
  <c r="E326" i="34"/>
  <c r="D326" i="34"/>
  <c r="C326" i="34"/>
  <c r="V325" i="34"/>
  <c r="U325" i="34"/>
  <c r="T325" i="34"/>
  <c r="S325" i="34"/>
  <c r="N325" i="34"/>
  <c r="M325" i="34"/>
  <c r="L325" i="34"/>
  <c r="K325" i="34"/>
  <c r="F325" i="34"/>
  <c r="E325" i="34"/>
  <c r="D325" i="34"/>
  <c r="C325" i="34"/>
  <c r="U324" i="34"/>
  <c r="T324" i="34"/>
  <c r="S324" i="34"/>
  <c r="M324" i="34"/>
  <c r="L324" i="34"/>
  <c r="K324" i="34"/>
  <c r="E324" i="34"/>
  <c r="D324" i="34"/>
  <c r="C324" i="34"/>
  <c r="U323" i="34"/>
  <c r="T323" i="34"/>
  <c r="S323" i="34"/>
  <c r="M323" i="34"/>
  <c r="L323" i="34"/>
  <c r="K323" i="34"/>
  <c r="E323" i="34"/>
  <c r="D323" i="34"/>
  <c r="C323" i="34"/>
  <c r="U322" i="34"/>
  <c r="T322" i="34"/>
  <c r="S322" i="34"/>
  <c r="M322" i="34"/>
  <c r="L322" i="34"/>
  <c r="K322" i="34"/>
  <c r="E322" i="34"/>
  <c r="D322" i="34"/>
  <c r="C322" i="34"/>
  <c r="V321" i="34"/>
  <c r="U321" i="34"/>
  <c r="T321" i="34"/>
  <c r="S321" i="34"/>
  <c r="N321" i="34"/>
  <c r="M321" i="34"/>
  <c r="L321" i="34"/>
  <c r="K321" i="34"/>
  <c r="F321" i="34"/>
  <c r="E321" i="34"/>
  <c r="D321" i="34"/>
  <c r="C321" i="34"/>
  <c r="V320" i="34"/>
  <c r="U320" i="34"/>
  <c r="T320" i="34"/>
  <c r="S320" i="34"/>
  <c r="N320" i="34"/>
  <c r="M320" i="34"/>
  <c r="L320" i="34"/>
  <c r="K320" i="34"/>
  <c r="F320" i="34"/>
  <c r="E320" i="34"/>
  <c r="D320" i="34"/>
  <c r="C320" i="34"/>
  <c r="V319" i="34"/>
  <c r="U319" i="34"/>
  <c r="T319" i="34"/>
  <c r="S319" i="34"/>
  <c r="N319" i="34"/>
  <c r="M319" i="34"/>
  <c r="L319" i="34"/>
  <c r="K319" i="34"/>
  <c r="F319" i="34"/>
  <c r="E319" i="34"/>
  <c r="D319" i="34"/>
  <c r="C319" i="34"/>
  <c r="V318" i="34"/>
  <c r="U318" i="34"/>
  <c r="T318" i="34"/>
  <c r="S318" i="34"/>
  <c r="N318" i="34"/>
  <c r="M318" i="34"/>
  <c r="L318" i="34"/>
  <c r="K318" i="34"/>
  <c r="F318" i="34"/>
  <c r="E318" i="34"/>
  <c r="D318" i="34"/>
  <c r="C318" i="34"/>
  <c r="V317" i="34"/>
  <c r="U317" i="34"/>
  <c r="T317" i="34"/>
  <c r="S317" i="34"/>
  <c r="N317" i="34"/>
  <c r="M317" i="34"/>
  <c r="L317" i="34"/>
  <c r="K317" i="34"/>
  <c r="F317" i="34"/>
  <c r="E317" i="34"/>
  <c r="D317" i="34"/>
  <c r="C317" i="34"/>
  <c r="V316" i="34"/>
  <c r="U316" i="34"/>
  <c r="T316" i="34"/>
  <c r="S316" i="34"/>
  <c r="N316" i="34"/>
  <c r="M316" i="34"/>
  <c r="L316" i="34"/>
  <c r="K316" i="34"/>
  <c r="F316" i="34"/>
  <c r="E316" i="34"/>
  <c r="D316" i="34"/>
  <c r="C316" i="34"/>
  <c r="V315" i="34"/>
  <c r="U315" i="34"/>
  <c r="T315" i="34"/>
  <c r="S315" i="34"/>
  <c r="N315" i="34"/>
  <c r="M315" i="34"/>
  <c r="L315" i="34"/>
  <c r="K315" i="34"/>
  <c r="F315" i="34"/>
  <c r="E315" i="34"/>
  <c r="D315" i="34"/>
  <c r="C315" i="34"/>
  <c r="V314" i="34"/>
  <c r="U314" i="34"/>
  <c r="T314" i="34"/>
  <c r="S314" i="34"/>
  <c r="N314" i="34"/>
  <c r="M314" i="34"/>
  <c r="L314" i="34"/>
  <c r="K314" i="34"/>
  <c r="F314" i="34"/>
  <c r="E314" i="34"/>
  <c r="D314" i="34"/>
  <c r="C314" i="34"/>
  <c r="V313" i="34"/>
  <c r="U313" i="34"/>
  <c r="T313" i="34"/>
  <c r="S313" i="34"/>
  <c r="N313" i="34"/>
  <c r="M313" i="34"/>
  <c r="L313" i="34"/>
  <c r="K313" i="34"/>
  <c r="F313" i="34"/>
  <c r="E313" i="34"/>
  <c r="D313" i="34"/>
  <c r="C313" i="34"/>
  <c r="V312" i="34"/>
  <c r="U312" i="34"/>
  <c r="T312" i="34"/>
  <c r="S312" i="34"/>
  <c r="N312" i="34"/>
  <c r="M312" i="34"/>
  <c r="L312" i="34"/>
  <c r="K312" i="34"/>
  <c r="F312" i="34"/>
  <c r="E312" i="34"/>
  <c r="D312" i="34"/>
  <c r="C312" i="34"/>
  <c r="V311" i="34"/>
  <c r="U311" i="34"/>
  <c r="T311" i="34"/>
  <c r="S311" i="34"/>
  <c r="N311" i="34"/>
  <c r="M311" i="34"/>
  <c r="L311" i="34"/>
  <c r="K311" i="34"/>
  <c r="F311" i="34"/>
  <c r="E311" i="34"/>
  <c r="D311" i="34"/>
  <c r="C311" i="34"/>
  <c r="V310" i="34"/>
  <c r="U310" i="34"/>
  <c r="T310" i="34"/>
  <c r="S310" i="34"/>
  <c r="N310" i="34"/>
  <c r="M310" i="34"/>
  <c r="L310" i="34"/>
  <c r="K310" i="34"/>
  <c r="F310" i="34"/>
  <c r="E310" i="34"/>
  <c r="D310" i="34"/>
  <c r="C310" i="34"/>
  <c r="V308" i="34"/>
  <c r="U308" i="34"/>
  <c r="T308" i="34"/>
  <c r="S308" i="34"/>
  <c r="N308" i="34"/>
  <c r="M308" i="34"/>
  <c r="L308" i="34"/>
  <c r="K308" i="34"/>
  <c r="F308" i="34"/>
  <c r="E308" i="34"/>
  <c r="D308" i="34"/>
  <c r="C308" i="34"/>
  <c r="V307" i="34"/>
  <c r="U307" i="34"/>
  <c r="T307" i="34"/>
  <c r="S307" i="34"/>
  <c r="N307" i="34"/>
  <c r="M307" i="34"/>
  <c r="L307" i="34"/>
  <c r="K307" i="34"/>
  <c r="F307" i="34"/>
  <c r="E307" i="34"/>
  <c r="D307" i="34"/>
  <c r="C307" i="34"/>
  <c r="V306" i="34"/>
  <c r="U306" i="34"/>
  <c r="T306" i="34"/>
  <c r="S306" i="34"/>
  <c r="N306" i="34"/>
  <c r="M306" i="34"/>
  <c r="L306" i="34"/>
  <c r="K306" i="34"/>
  <c r="F306" i="34"/>
  <c r="E306" i="34"/>
  <c r="D306" i="34"/>
  <c r="C306" i="34"/>
  <c r="V305" i="34"/>
  <c r="U305" i="34"/>
  <c r="T305" i="34"/>
  <c r="S305" i="34"/>
  <c r="N305" i="34"/>
  <c r="M305" i="34"/>
  <c r="L305" i="34"/>
  <c r="K305" i="34"/>
  <c r="F305" i="34"/>
  <c r="E305" i="34"/>
  <c r="D305" i="34"/>
  <c r="C305" i="34"/>
  <c r="V304" i="34"/>
  <c r="U304" i="34"/>
  <c r="T304" i="34"/>
  <c r="S304" i="34"/>
  <c r="N304" i="34"/>
  <c r="M304" i="34"/>
  <c r="L304" i="34"/>
  <c r="K304" i="34"/>
  <c r="F304" i="34"/>
  <c r="E304" i="34"/>
  <c r="D304" i="34"/>
  <c r="C304" i="34"/>
  <c r="U303" i="34"/>
  <c r="T303" i="34"/>
  <c r="S303" i="34"/>
  <c r="M303" i="34"/>
  <c r="L303" i="34"/>
  <c r="K303" i="34"/>
  <c r="E303" i="34"/>
  <c r="D303" i="34"/>
  <c r="C303" i="34"/>
  <c r="U302" i="34"/>
  <c r="T302" i="34"/>
  <c r="S302" i="34"/>
  <c r="M302" i="34"/>
  <c r="L302" i="34"/>
  <c r="K302" i="34"/>
  <c r="E302" i="34"/>
  <c r="D302" i="34"/>
  <c r="C302" i="34"/>
  <c r="U301" i="34"/>
  <c r="T301" i="34"/>
  <c r="S301" i="34"/>
  <c r="M301" i="34"/>
  <c r="L301" i="34"/>
  <c r="K301" i="34"/>
  <c r="E301" i="34"/>
  <c r="D301" i="34"/>
  <c r="C301" i="34"/>
  <c r="V300" i="34"/>
  <c r="U300" i="34"/>
  <c r="T300" i="34"/>
  <c r="S300" i="34"/>
  <c r="N300" i="34"/>
  <c r="M300" i="34"/>
  <c r="L300" i="34"/>
  <c r="K300" i="34"/>
  <c r="F300" i="34"/>
  <c r="E300" i="34"/>
  <c r="D300" i="34"/>
  <c r="C300" i="34"/>
  <c r="V299" i="34"/>
  <c r="U299" i="34"/>
  <c r="T299" i="34"/>
  <c r="S299" i="34"/>
  <c r="N299" i="34"/>
  <c r="M299" i="34"/>
  <c r="L299" i="34"/>
  <c r="K299" i="34"/>
  <c r="F299" i="34"/>
  <c r="E299" i="34"/>
  <c r="D299" i="34"/>
  <c r="C299" i="34"/>
  <c r="V298" i="34"/>
  <c r="U298" i="34"/>
  <c r="T298" i="34"/>
  <c r="S298" i="34"/>
  <c r="N298" i="34"/>
  <c r="M298" i="34"/>
  <c r="L298" i="34"/>
  <c r="K298" i="34"/>
  <c r="F298" i="34"/>
  <c r="E298" i="34"/>
  <c r="D298" i="34"/>
  <c r="C298" i="34"/>
  <c r="V297" i="34"/>
  <c r="U297" i="34"/>
  <c r="T297" i="34"/>
  <c r="S297" i="34"/>
  <c r="N297" i="34"/>
  <c r="M297" i="34"/>
  <c r="L297" i="34"/>
  <c r="K297" i="34"/>
  <c r="F297" i="34"/>
  <c r="E297" i="34"/>
  <c r="D297" i="34"/>
  <c r="C297" i="34"/>
  <c r="V296" i="34"/>
  <c r="U296" i="34"/>
  <c r="T296" i="34"/>
  <c r="S296" i="34"/>
  <c r="N296" i="34"/>
  <c r="M296" i="34"/>
  <c r="L296" i="34"/>
  <c r="K296" i="34"/>
  <c r="F296" i="34"/>
  <c r="E296" i="34"/>
  <c r="D296" i="34"/>
  <c r="C296" i="34"/>
  <c r="V295" i="34"/>
  <c r="U295" i="34"/>
  <c r="T295" i="34"/>
  <c r="S295" i="34"/>
  <c r="N295" i="34"/>
  <c r="M295" i="34"/>
  <c r="L295" i="34"/>
  <c r="K295" i="34"/>
  <c r="F295" i="34"/>
  <c r="E295" i="34"/>
  <c r="D295" i="34"/>
  <c r="C295" i="34"/>
  <c r="V294" i="34"/>
  <c r="U294" i="34"/>
  <c r="T294" i="34"/>
  <c r="S294" i="34"/>
  <c r="N294" i="34"/>
  <c r="M294" i="34"/>
  <c r="L294" i="34"/>
  <c r="K294" i="34"/>
  <c r="F294" i="34"/>
  <c r="E294" i="34"/>
  <c r="D294" i="34"/>
  <c r="C294" i="34"/>
  <c r="V293" i="34"/>
  <c r="U293" i="34"/>
  <c r="T293" i="34"/>
  <c r="S293" i="34"/>
  <c r="N293" i="34"/>
  <c r="M293" i="34"/>
  <c r="L293" i="34"/>
  <c r="K293" i="34"/>
  <c r="F293" i="34"/>
  <c r="E293" i="34"/>
  <c r="D293" i="34"/>
  <c r="C293" i="34"/>
  <c r="Z292" i="34"/>
  <c r="V292" i="34"/>
  <c r="U292" i="34"/>
  <c r="T292" i="34"/>
  <c r="S292" i="34"/>
  <c r="N292" i="34"/>
  <c r="M292" i="34"/>
  <c r="L292" i="34"/>
  <c r="K292" i="34"/>
  <c r="F292" i="34"/>
  <c r="E292" i="34"/>
  <c r="D292" i="34"/>
  <c r="C292" i="34"/>
  <c r="Z291" i="34"/>
  <c r="V291" i="34"/>
  <c r="U291" i="34"/>
  <c r="T291" i="34"/>
  <c r="S291" i="34"/>
  <c r="N291" i="34"/>
  <c r="M291" i="34"/>
  <c r="L291" i="34"/>
  <c r="K291" i="34"/>
  <c r="F291" i="34"/>
  <c r="E291" i="34"/>
  <c r="D291" i="34"/>
  <c r="C291" i="34"/>
  <c r="Z290" i="34"/>
  <c r="V290" i="34"/>
  <c r="U290" i="34"/>
  <c r="T290" i="34"/>
  <c r="S290" i="34"/>
  <c r="N290" i="34"/>
  <c r="M290" i="34"/>
  <c r="L290" i="34"/>
  <c r="K290" i="34"/>
  <c r="F290" i="34"/>
  <c r="E290" i="34"/>
  <c r="D290" i="34"/>
  <c r="C290" i="34"/>
  <c r="Z289" i="34"/>
  <c r="V289" i="34"/>
  <c r="U289" i="34"/>
  <c r="T289" i="34"/>
  <c r="S289" i="34"/>
  <c r="N289" i="34"/>
  <c r="M289" i="34"/>
  <c r="L289" i="34"/>
  <c r="K289" i="34"/>
  <c r="F289" i="34"/>
  <c r="E289" i="34"/>
  <c r="D289" i="34"/>
  <c r="C289" i="34"/>
  <c r="Z288" i="34"/>
  <c r="Z287" i="34"/>
  <c r="V287" i="34"/>
  <c r="U287" i="34"/>
  <c r="T287" i="34"/>
  <c r="S287" i="34"/>
  <c r="N287" i="34"/>
  <c r="M287" i="34"/>
  <c r="L287" i="34"/>
  <c r="K287" i="34"/>
  <c r="F287" i="34"/>
  <c r="E287" i="34"/>
  <c r="D287" i="34"/>
  <c r="C287" i="34"/>
  <c r="Z286" i="34"/>
  <c r="V286" i="34"/>
  <c r="U286" i="34"/>
  <c r="T286" i="34"/>
  <c r="S286" i="34"/>
  <c r="N286" i="34"/>
  <c r="M286" i="34"/>
  <c r="L286" i="34"/>
  <c r="K286" i="34"/>
  <c r="F286" i="34"/>
  <c r="E286" i="34"/>
  <c r="D286" i="34"/>
  <c r="C286" i="34"/>
  <c r="Z285" i="34"/>
  <c r="V285" i="34"/>
  <c r="U285" i="34"/>
  <c r="T285" i="34"/>
  <c r="S285" i="34"/>
  <c r="N285" i="34"/>
  <c r="M285" i="34"/>
  <c r="L285" i="34"/>
  <c r="K285" i="34"/>
  <c r="F285" i="34"/>
  <c r="E285" i="34"/>
  <c r="D285" i="34"/>
  <c r="C285" i="34"/>
  <c r="Z284" i="34"/>
  <c r="V284" i="34"/>
  <c r="U284" i="34"/>
  <c r="T284" i="34"/>
  <c r="S284" i="34"/>
  <c r="N284" i="34"/>
  <c r="M284" i="34"/>
  <c r="L284" i="34"/>
  <c r="K284" i="34"/>
  <c r="F284" i="34"/>
  <c r="E284" i="34"/>
  <c r="D284" i="34"/>
  <c r="C284" i="34"/>
  <c r="Z283" i="34"/>
  <c r="V283" i="34"/>
  <c r="U283" i="34"/>
  <c r="T283" i="34"/>
  <c r="S283" i="34"/>
  <c r="N283" i="34"/>
  <c r="M283" i="34"/>
  <c r="L283" i="34"/>
  <c r="K283" i="34"/>
  <c r="F283" i="34"/>
  <c r="E283" i="34"/>
  <c r="D283" i="34"/>
  <c r="C283" i="34"/>
  <c r="Z282" i="34"/>
  <c r="U282" i="34"/>
  <c r="T282" i="34"/>
  <c r="S282" i="34"/>
  <c r="M282" i="34"/>
  <c r="L282" i="34"/>
  <c r="K282" i="34"/>
  <c r="E282" i="34"/>
  <c r="D282" i="34"/>
  <c r="C282" i="34"/>
  <c r="Z281" i="34"/>
  <c r="U281" i="34"/>
  <c r="T281" i="34"/>
  <c r="S281" i="34"/>
  <c r="M281" i="34"/>
  <c r="L281" i="34"/>
  <c r="K281" i="34"/>
  <c r="E281" i="34"/>
  <c r="D281" i="34"/>
  <c r="C281" i="34"/>
  <c r="Z280" i="34"/>
  <c r="U280" i="34"/>
  <c r="T280" i="34"/>
  <c r="S280" i="34"/>
  <c r="M280" i="34"/>
  <c r="L280" i="34"/>
  <c r="K280" i="34"/>
  <c r="E280" i="34"/>
  <c r="D280" i="34"/>
  <c r="C280" i="34"/>
  <c r="Z279" i="34"/>
  <c r="V279" i="34"/>
  <c r="U279" i="34"/>
  <c r="T279" i="34"/>
  <c r="S279" i="34"/>
  <c r="N279" i="34"/>
  <c r="M279" i="34"/>
  <c r="L279" i="34"/>
  <c r="K279" i="34"/>
  <c r="F279" i="34"/>
  <c r="E279" i="34"/>
  <c r="D279" i="34"/>
  <c r="C279" i="34"/>
  <c r="Z278" i="34"/>
  <c r="V278" i="34"/>
  <c r="U278" i="34"/>
  <c r="T278" i="34"/>
  <c r="S278" i="34"/>
  <c r="N278" i="34"/>
  <c r="M278" i="34"/>
  <c r="L278" i="34"/>
  <c r="K278" i="34"/>
  <c r="F278" i="34"/>
  <c r="E278" i="34"/>
  <c r="D278" i="34"/>
  <c r="C278" i="34"/>
  <c r="Z277" i="34"/>
  <c r="V277" i="34"/>
  <c r="U277" i="34"/>
  <c r="T277" i="34"/>
  <c r="S277" i="34"/>
  <c r="N277" i="34"/>
  <c r="M277" i="34"/>
  <c r="L277" i="34"/>
  <c r="K277" i="34"/>
  <c r="F277" i="34"/>
  <c r="E277" i="34"/>
  <c r="D277" i="34"/>
  <c r="C277" i="34"/>
  <c r="Z276" i="34"/>
  <c r="V276" i="34"/>
  <c r="U276" i="34"/>
  <c r="T276" i="34"/>
  <c r="S276" i="34"/>
  <c r="N276" i="34"/>
  <c r="M276" i="34"/>
  <c r="L276" i="34"/>
  <c r="K276" i="34"/>
  <c r="F276" i="34"/>
  <c r="E276" i="34"/>
  <c r="D276" i="34"/>
  <c r="C276" i="34"/>
  <c r="Z275" i="34"/>
  <c r="V275" i="34"/>
  <c r="U275" i="34"/>
  <c r="T275" i="34"/>
  <c r="S275" i="34"/>
  <c r="N275" i="34"/>
  <c r="M275" i="34"/>
  <c r="L275" i="34"/>
  <c r="K275" i="34"/>
  <c r="F275" i="34"/>
  <c r="E275" i="34"/>
  <c r="D275" i="34"/>
  <c r="C275" i="34"/>
  <c r="Z274" i="34"/>
  <c r="V274" i="34"/>
  <c r="U274" i="34"/>
  <c r="T274" i="34"/>
  <c r="S274" i="34"/>
  <c r="N274" i="34"/>
  <c r="M274" i="34"/>
  <c r="L274" i="34"/>
  <c r="K274" i="34"/>
  <c r="F274" i="34"/>
  <c r="E274" i="34"/>
  <c r="D274" i="34"/>
  <c r="C274" i="34"/>
  <c r="Z273" i="34"/>
  <c r="V273" i="34"/>
  <c r="U273" i="34"/>
  <c r="T273" i="34"/>
  <c r="S273" i="34"/>
  <c r="N273" i="34"/>
  <c r="M273" i="34"/>
  <c r="L273" i="34"/>
  <c r="K273" i="34"/>
  <c r="F273" i="34"/>
  <c r="E273" i="34"/>
  <c r="D273" i="34"/>
  <c r="C273" i="34"/>
  <c r="V272" i="34"/>
  <c r="U272" i="34"/>
  <c r="T272" i="34"/>
  <c r="S272" i="34"/>
  <c r="N272" i="34"/>
  <c r="M272" i="34"/>
  <c r="L272" i="34"/>
  <c r="K272" i="34"/>
  <c r="F272" i="34"/>
  <c r="E272" i="34"/>
  <c r="D272" i="34"/>
  <c r="C272" i="34"/>
  <c r="V271" i="34"/>
  <c r="U271" i="34"/>
  <c r="T271" i="34"/>
  <c r="S271" i="34"/>
  <c r="N271" i="34"/>
  <c r="M271" i="34"/>
  <c r="L271" i="34"/>
  <c r="K271" i="34"/>
  <c r="F271" i="34"/>
  <c r="E271" i="34"/>
  <c r="D271" i="34"/>
  <c r="C271" i="34"/>
  <c r="V270" i="34"/>
  <c r="U270" i="34"/>
  <c r="T270" i="34"/>
  <c r="S270" i="34"/>
  <c r="N270" i="34"/>
  <c r="M270" i="34"/>
  <c r="L270" i="34"/>
  <c r="K270" i="34"/>
  <c r="F270" i="34"/>
  <c r="E270" i="34"/>
  <c r="D270" i="34"/>
  <c r="C270" i="34"/>
  <c r="V269" i="34"/>
  <c r="U269" i="34"/>
  <c r="T269" i="34"/>
  <c r="S269" i="34"/>
  <c r="N269" i="34"/>
  <c r="M269" i="34"/>
  <c r="L269" i="34"/>
  <c r="K269" i="34"/>
  <c r="F269" i="34"/>
  <c r="E269" i="34"/>
  <c r="D269" i="34"/>
  <c r="C269" i="34"/>
  <c r="Z268" i="34"/>
  <c r="V268" i="34"/>
  <c r="U268" i="34"/>
  <c r="T268" i="34"/>
  <c r="S268" i="34"/>
  <c r="N268" i="34"/>
  <c r="M268" i="34"/>
  <c r="L268" i="34"/>
  <c r="K268" i="34"/>
  <c r="F268" i="34"/>
  <c r="E268" i="34"/>
  <c r="D268" i="34"/>
  <c r="C268" i="34"/>
  <c r="Z267" i="34"/>
  <c r="Z266" i="34"/>
  <c r="V266" i="34"/>
  <c r="U266" i="34"/>
  <c r="T266" i="34"/>
  <c r="S266" i="34"/>
  <c r="N266" i="34"/>
  <c r="M266" i="34"/>
  <c r="L266" i="34"/>
  <c r="K266" i="34"/>
  <c r="F266" i="34"/>
  <c r="E266" i="34"/>
  <c r="D266" i="34"/>
  <c r="C266" i="34"/>
  <c r="Z265" i="34"/>
  <c r="V265" i="34"/>
  <c r="U265" i="34"/>
  <c r="T265" i="34"/>
  <c r="S265" i="34"/>
  <c r="N265" i="34"/>
  <c r="M265" i="34"/>
  <c r="L265" i="34"/>
  <c r="K265" i="34"/>
  <c r="F265" i="34"/>
  <c r="E265" i="34"/>
  <c r="D265" i="34"/>
  <c r="C265" i="34"/>
  <c r="Z264" i="34"/>
  <c r="V264" i="34"/>
  <c r="U264" i="34"/>
  <c r="T264" i="34"/>
  <c r="S264" i="34"/>
  <c r="N264" i="34"/>
  <c r="M264" i="34"/>
  <c r="L264" i="34"/>
  <c r="K264" i="34"/>
  <c r="F264" i="34"/>
  <c r="E264" i="34"/>
  <c r="D264" i="34"/>
  <c r="C264" i="34"/>
  <c r="Z263" i="34"/>
  <c r="V263" i="34"/>
  <c r="U263" i="34"/>
  <c r="T263" i="34"/>
  <c r="S263" i="34"/>
  <c r="N263" i="34"/>
  <c r="M263" i="34"/>
  <c r="L263" i="34"/>
  <c r="K263" i="34"/>
  <c r="F263" i="34"/>
  <c r="E263" i="34"/>
  <c r="D263" i="34"/>
  <c r="C263" i="34"/>
  <c r="Z262" i="34"/>
  <c r="V262" i="34"/>
  <c r="U262" i="34"/>
  <c r="T262" i="34"/>
  <c r="S262" i="34"/>
  <c r="N262" i="34"/>
  <c r="M262" i="34"/>
  <c r="L262" i="34"/>
  <c r="K262" i="34"/>
  <c r="F262" i="34"/>
  <c r="E262" i="34"/>
  <c r="D262" i="34"/>
  <c r="C262" i="34"/>
  <c r="Z261" i="34"/>
  <c r="U261" i="34"/>
  <c r="T261" i="34"/>
  <c r="S261" i="34"/>
  <c r="M261" i="34"/>
  <c r="L261" i="34"/>
  <c r="K261" i="34"/>
  <c r="E261" i="34"/>
  <c r="D261" i="34"/>
  <c r="C261" i="34"/>
  <c r="Z260" i="34"/>
  <c r="U260" i="34"/>
  <c r="T260" i="34"/>
  <c r="S260" i="34"/>
  <c r="M260" i="34"/>
  <c r="L260" i="34"/>
  <c r="K260" i="34"/>
  <c r="E260" i="34"/>
  <c r="D260" i="34"/>
  <c r="C260" i="34"/>
  <c r="Z259" i="34"/>
  <c r="U259" i="34"/>
  <c r="T259" i="34"/>
  <c r="S259" i="34"/>
  <c r="M259" i="34"/>
  <c r="L259" i="34"/>
  <c r="K259" i="34"/>
  <c r="E259" i="34"/>
  <c r="D259" i="34"/>
  <c r="C259" i="34"/>
  <c r="Z258" i="34"/>
  <c r="V258" i="34"/>
  <c r="U258" i="34"/>
  <c r="T258" i="34"/>
  <c r="S258" i="34"/>
  <c r="N258" i="34"/>
  <c r="M258" i="34"/>
  <c r="L258" i="34"/>
  <c r="K258" i="34"/>
  <c r="F258" i="34"/>
  <c r="E258" i="34"/>
  <c r="D258" i="34"/>
  <c r="C258" i="34"/>
  <c r="Z257" i="34"/>
  <c r="V257" i="34"/>
  <c r="U257" i="34"/>
  <c r="T257" i="34"/>
  <c r="S257" i="34"/>
  <c r="N257" i="34"/>
  <c r="M257" i="34"/>
  <c r="L257" i="34"/>
  <c r="K257" i="34"/>
  <c r="F257" i="34"/>
  <c r="E257" i="34"/>
  <c r="D257" i="34"/>
  <c r="C257" i="34"/>
  <c r="Z256" i="34"/>
  <c r="V256" i="34"/>
  <c r="U256" i="34"/>
  <c r="T256" i="34"/>
  <c r="S256" i="34"/>
  <c r="N256" i="34"/>
  <c r="M256" i="34"/>
  <c r="L256" i="34"/>
  <c r="K256" i="34"/>
  <c r="F256" i="34"/>
  <c r="E256" i="34"/>
  <c r="D256" i="34"/>
  <c r="C256" i="34"/>
  <c r="Z255" i="34"/>
  <c r="V255" i="34"/>
  <c r="U255" i="34"/>
  <c r="T255" i="34"/>
  <c r="S255" i="34"/>
  <c r="N255" i="34"/>
  <c r="M255" i="34"/>
  <c r="L255" i="34"/>
  <c r="K255" i="34"/>
  <c r="F255" i="34"/>
  <c r="E255" i="34"/>
  <c r="D255" i="34"/>
  <c r="C255" i="34"/>
  <c r="Z254" i="34"/>
  <c r="V254" i="34"/>
  <c r="U254" i="34"/>
  <c r="T254" i="34"/>
  <c r="S254" i="34"/>
  <c r="N254" i="34"/>
  <c r="M254" i="34"/>
  <c r="L254" i="34"/>
  <c r="K254" i="34"/>
  <c r="F254" i="34"/>
  <c r="E254" i="34"/>
  <c r="D254" i="34"/>
  <c r="C254" i="34"/>
  <c r="Z253" i="34"/>
  <c r="V253" i="34"/>
  <c r="U253" i="34"/>
  <c r="T253" i="34"/>
  <c r="S253" i="34"/>
  <c r="N253" i="34"/>
  <c r="M253" i="34"/>
  <c r="L253" i="34"/>
  <c r="K253" i="34"/>
  <c r="F253" i="34"/>
  <c r="E253" i="34"/>
  <c r="D253" i="34"/>
  <c r="C253" i="34"/>
  <c r="Z252" i="34"/>
  <c r="V252" i="34"/>
  <c r="U252" i="34"/>
  <c r="T252" i="34"/>
  <c r="S252" i="34"/>
  <c r="N252" i="34"/>
  <c r="M252" i="34"/>
  <c r="L252" i="34"/>
  <c r="K252" i="34"/>
  <c r="F252" i="34"/>
  <c r="E252" i="34"/>
  <c r="D252" i="34"/>
  <c r="C252" i="34"/>
  <c r="Z251" i="34"/>
  <c r="V251" i="34"/>
  <c r="U251" i="34"/>
  <c r="T251" i="34"/>
  <c r="S251" i="34"/>
  <c r="N251" i="34"/>
  <c r="M251" i="34"/>
  <c r="L251" i="34"/>
  <c r="K251" i="34"/>
  <c r="F251" i="34"/>
  <c r="E251" i="34"/>
  <c r="D251" i="34"/>
  <c r="C251" i="34"/>
  <c r="Z250" i="34"/>
  <c r="V250" i="34"/>
  <c r="U250" i="34"/>
  <c r="T250" i="34"/>
  <c r="S250" i="34"/>
  <c r="N250" i="34"/>
  <c r="M250" i="34"/>
  <c r="L250" i="34"/>
  <c r="K250" i="34"/>
  <c r="F250" i="34"/>
  <c r="E250" i="34"/>
  <c r="D250" i="34"/>
  <c r="C250" i="34"/>
  <c r="Z249" i="34"/>
  <c r="V249" i="34"/>
  <c r="U249" i="34"/>
  <c r="T249" i="34"/>
  <c r="S249" i="34"/>
  <c r="N249" i="34"/>
  <c r="M249" i="34"/>
  <c r="L249" i="34"/>
  <c r="K249" i="34"/>
  <c r="F249" i="34"/>
  <c r="E249" i="34"/>
  <c r="D249" i="34"/>
  <c r="C249" i="34"/>
  <c r="V248" i="34"/>
  <c r="U248" i="34"/>
  <c r="T248" i="34"/>
  <c r="S248" i="34"/>
  <c r="N248" i="34"/>
  <c r="M248" i="34"/>
  <c r="L248" i="34"/>
  <c r="K248" i="34"/>
  <c r="F248" i="34"/>
  <c r="E248" i="34"/>
  <c r="D248" i="34"/>
  <c r="C248" i="34"/>
  <c r="V247" i="34"/>
  <c r="U247" i="34"/>
  <c r="T247" i="34"/>
  <c r="S247" i="34"/>
  <c r="N247" i="34"/>
  <c r="M247" i="34"/>
  <c r="L247" i="34"/>
  <c r="K247" i="34"/>
  <c r="F247" i="34"/>
  <c r="E247" i="34"/>
  <c r="D247" i="34"/>
  <c r="C247" i="34"/>
  <c r="V245" i="34"/>
  <c r="U245" i="34"/>
  <c r="T245" i="34"/>
  <c r="S245" i="34"/>
  <c r="N245" i="34"/>
  <c r="M245" i="34"/>
  <c r="L245" i="34"/>
  <c r="K245" i="34"/>
  <c r="F245" i="34"/>
  <c r="E245" i="34"/>
  <c r="D245" i="34"/>
  <c r="C245" i="34"/>
  <c r="Z244" i="34"/>
  <c r="V244" i="34"/>
  <c r="U244" i="34"/>
  <c r="T244" i="34"/>
  <c r="S244" i="34"/>
  <c r="N244" i="34"/>
  <c r="M244" i="34"/>
  <c r="L244" i="34"/>
  <c r="K244" i="34"/>
  <c r="F244" i="34"/>
  <c r="E244" i="34"/>
  <c r="D244" i="34"/>
  <c r="C244" i="34"/>
  <c r="Z243" i="34"/>
  <c r="V243" i="34"/>
  <c r="U243" i="34"/>
  <c r="T243" i="34"/>
  <c r="S243" i="34"/>
  <c r="N243" i="34"/>
  <c r="M243" i="34"/>
  <c r="L243" i="34"/>
  <c r="K243" i="34"/>
  <c r="F243" i="34"/>
  <c r="E243" i="34"/>
  <c r="D243" i="34"/>
  <c r="C243" i="34"/>
  <c r="Z242" i="34"/>
  <c r="V242" i="34"/>
  <c r="U242" i="34"/>
  <c r="T242" i="34"/>
  <c r="S242" i="34"/>
  <c r="N242" i="34"/>
  <c r="M242" i="34"/>
  <c r="L242" i="34"/>
  <c r="K242" i="34"/>
  <c r="F242" i="34"/>
  <c r="E242" i="34"/>
  <c r="D242" i="34"/>
  <c r="C242" i="34"/>
  <c r="Z241" i="34"/>
  <c r="V241" i="34"/>
  <c r="U241" i="34"/>
  <c r="T241" i="34"/>
  <c r="S241" i="34"/>
  <c r="N241" i="34"/>
  <c r="M241" i="34"/>
  <c r="L241" i="34"/>
  <c r="K241" i="34"/>
  <c r="F241" i="34"/>
  <c r="E241" i="34"/>
  <c r="D241" i="34"/>
  <c r="C241" i="34"/>
  <c r="Z240" i="34"/>
  <c r="U240" i="34"/>
  <c r="T240" i="34"/>
  <c r="S240" i="34"/>
  <c r="M240" i="34"/>
  <c r="L240" i="34"/>
  <c r="K240" i="34"/>
  <c r="E240" i="34"/>
  <c r="D240" i="34"/>
  <c r="C240" i="34"/>
  <c r="Z239" i="34"/>
  <c r="U239" i="34"/>
  <c r="T239" i="34"/>
  <c r="S239" i="34"/>
  <c r="M239" i="34"/>
  <c r="L239" i="34"/>
  <c r="K239" i="34"/>
  <c r="E239" i="34"/>
  <c r="D239" i="34"/>
  <c r="C239" i="34"/>
  <c r="Z238" i="34"/>
  <c r="U238" i="34"/>
  <c r="T238" i="34"/>
  <c r="S238" i="34"/>
  <c r="M238" i="34"/>
  <c r="L238" i="34"/>
  <c r="K238" i="34"/>
  <c r="E238" i="34"/>
  <c r="D238" i="34"/>
  <c r="C238" i="34"/>
  <c r="Z237" i="34"/>
  <c r="V237" i="34"/>
  <c r="U237" i="34"/>
  <c r="T237" i="34"/>
  <c r="S237" i="34"/>
  <c r="N237" i="34"/>
  <c r="M237" i="34"/>
  <c r="L237" i="34"/>
  <c r="K237" i="34"/>
  <c r="F237" i="34"/>
  <c r="E237" i="34"/>
  <c r="D237" i="34"/>
  <c r="C237" i="34"/>
  <c r="Z236" i="34"/>
  <c r="V236" i="34"/>
  <c r="U236" i="34"/>
  <c r="T236" i="34"/>
  <c r="S236" i="34"/>
  <c r="N236" i="34"/>
  <c r="M236" i="34"/>
  <c r="L236" i="34"/>
  <c r="K236" i="34"/>
  <c r="F236" i="34"/>
  <c r="E236" i="34"/>
  <c r="D236" i="34"/>
  <c r="C236" i="34"/>
  <c r="Z235" i="34"/>
  <c r="V235" i="34"/>
  <c r="U235" i="34"/>
  <c r="T235" i="34"/>
  <c r="S235" i="34"/>
  <c r="N235" i="34"/>
  <c r="M235" i="34"/>
  <c r="L235" i="34"/>
  <c r="K235" i="34"/>
  <c r="F235" i="34"/>
  <c r="E235" i="34"/>
  <c r="D235" i="34"/>
  <c r="C235" i="34"/>
  <c r="Z234" i="34"/>
  <c r="V234" i="34"/>
  <c r="U234" i="34"/>
  <c r="T234" i="34"/>
  <c r="S234" i="34"/>
  <c r="N234" i="34"/>
  <c r="M234" i="34"/>
  <c r="L234" i="34"/>
  <c r="K234" i="34"/>
  <c r="F234" i="34"/>
  <c r="E234" i="34"/>
  <c r="D234" i="34"/>
  <c r="C234" i="34"/>
  <c r="Z233" i="34"/>
  <c r="V233" i="34"/>
  <c r="U233" i="34"/>
  <c r="T233" i="34"/>
  <c r="S233" i="34"/>
  <c r="N233" i="34"/>
  <c r="M233" i="34"/>
  <c r="L233" i="34"/>
  <c r="K233" i="34"/>
  <c r="F233" i="34"/>
  <c r="E233" i="34"/>
  <c r="D233" i="34"/>
  <c r="C233" i="34"/>
  <c r="Z232" i="34"/>
  <c r="V232" i="34"/>
  <c r="U232" i="34"/>
  <c r="T232" i="34"/>
  <c r="S232" i="34"/>
  <c r="N232" i="34"/>
  <c r="M232" i="34"/>
  <c r="L232" i="34"/>
  <c r="K232" i="34"/>
  <c r="F232" i="34"/>
  <c r="E232" i="34"/>
  <c r="D232" i="34"/>
  <c r="C232" i="34"/>
  <c r="Z231" i="34"/>
  <c r="V231" i="34"/>
  <c r="U231" i="34"/>
  <c r="T231" i="34"/>
  <c r="S231" i="34"/>
  <c r="N231" i="34"/>
  <c r="M231" i="34"/>
  <c r="L231" i="34"/>
  <c r="K231" i="34"/>
  <c r="F231" i="34"/>
  <c r="E231" i="34"/>
  <c r="D231" i="34"/>
  <c r="C231" i="34"/>
  <c r="Z230" i="34"/>
  <c r="V230" i="34"/>
  <c r="U230" i="34"/>
  <c r="T230" i="34"/>
  <c r="S230" i="34"/>
  <c r="N230" i="34"/>
  <c r="M230" i="34"/>
  <c r="L230" i="34"/>
  <c r="K230" i="34"/>
  <c r="F230" i="34"/>
  <c r="E230" i="34"/>
  <c r="D230" i="34"/>
  <c r="C230" i="34"/>
  <c r="Z229" i="34"/>
  <c r="V229" i="34"/>
  <c r="U229" i="34"/>
  <c r="T229" i="34"/>
  <c r="S229" i="34"/>
  <c r="N229" i="34"/>
  <c r="M229" i="34"/>
  <c r="L229" i="34"/>
  <c r="K229" i="34"/>
  <c r="F229" i="34"/>
  <c r="E229" i="34"/>
  <c r="D229" i="34"/>
  <c r="C229" i="34"/>
  <c r="Z228" i="34"/>
  <c r="V228" i="34"/>
  <c r="U228" i="34"/>
  <c r="T228" i="34"/>
  <c r="S228" i="34"/>
  <c r="N228" i="34"/>
  <c r="M228" i="34"/>
  <c r="L228" i="34"/>
  <c r="K228" i="34"/>
  <c r="F228" i="34"/>
  <c r="E228" i="34"/>
  <c r="D228" i="34"/>
  <c r="C228" i="34"/>
  <c r="Z227" i="34"/>
  <c r="V227" i="34"/>
  <c r="U227" i="34"/>
  <c r="T227" i="34"/>
  <c r="S227" i="34"/>
  <c r="N227" i="34"/>
  <c r="M227" i="34"/>
  <c r="L227" i="34"/>
  <c r="K227" i="34"/>
  <c r="F227" i="34"/>
  <c r="E227" i="34"/>
  <c r="D227" i="34"/>
  <c r="C227" i="34"/>
  <c r="Z226" i="34"/>
  <c r="V226" i="34"/>
  <c r="U226" i="34"/>
  <c r="T226" i="34"/>
  <c r="S226" i="34"/>
  <c r="N226" i="34"/>
  <c r="M226" i="34"/>
  <c r="L226" i="34"/>
  <c r="K226" i="34"/>
  <c r="F226" i="34"/>
  <c r="E226" i="34"/>
  <c r="D226" i="34"/>
  <c r="C226" i="34"/>
  <c r="Z225" i="34"/>
  <c r="U220" i="34"/>
  <c r="W371" i="34" s="1"/>
  <c r="N220" i="34"/>
  <c r="O371" i="34" s="1"/>
  <c r="G220" i="34"/>
  <c r="G371" i="34" s="1"/>
  <c r="U219" i="34"/>
  <c r="W350" i="34" s="1"/>
  <c r="N219" i="34"/>
  <c r="O350" i="34" s="1"/>
  <c r="G219" i="34"/>
  <c r="G350" i="34" s="1"/>
  <c r="U218" i="34"/>
  <c r="W329" i="34" s="1"/>
  <c r="N218" i="34"/>
  <c r="O329" i="34" s="1"/>
  <c r="G218" i="34"/>
  <c r="G329" i="34" s="1"/>
  <c r="U217" i="34"/>
  <c r="W308" i="34" s="1"/>
  <c r="N217" i="34"/>
  <c r="O308" i="34" s="1"/>
  <c r="G217" i="34"/>
  <c r="G308" i="34" s="1"/>
  <c r="U216" i="34"/>
  <c r="W287" i="34" s="1"/>
  <c r="N216" i="34"/>
  <c r="O287" i="34" s="1"/>
  <c r="G216" i="34"/>
  <c r="G287" i="34" s="1"/>
  <c r="U215" i="34"/>
  <c r="W266" i="34" s="1"/>
  <c r="N215" i="34"/>
  <c r="O266" i="34" s="1"/>
  <c r="G215" i="34"/>
  <c r="G266" i="34" s="1"/>
  <c r="U214" i="34"/>
  <c r="W245" i="34" s="1"/>
  <c r="N214" i="34"/>
  <c r="O245" i="34" s="1"/>
  <c r="G214" i="34"/>
  <c r="G245" i="34" s="1"/>
  <c r="L213" i="34"/>
  <c r="S213" i="34" s="1"/>
  <c r="K213" i="34"/>
  <c r="R213" i="34" s="1"/>
  <c r="I211" i="34"/>
  <c r="P211" i="34" s="1"/>
  <c r="U209" i="34"/>
  <c r="W370" i="34" s="1"/>
  <c r="N209" i="34"/>
  <c r="O370" i="34" s="1"/>
  <c r="G209" i="34"/>
  <c r="G370" i="34" s="1"/>
  <c r="U208" i="34"/>
  <c r="W349" i="34" s="1"/>
  <c r="N208" i="34"/>
  <c r="O349" i="34" s="1"/>
  <c r="G208" i="34"/>
  <c r="G349" i="34" s="1"/>
  <c r="U207" i="34"/>
  <c r="W328" i="34" s="1"/>
  <c r="N207" i="34"/>
  <c r="O328" i="34" s="1"/>
  <c r="G207" i="34"/>
  <c r="G328" i="34" s="1"/>
  <c r="U206" i="34"/>
  <c r="W307" i="34" s="1"/>
  <c r="N206" i="34"/>
  <c r="O307" i="34" s="1"/>
  <c r="G206" i="34"/>
  <c r="G307" i="34" s="1"/>
  <c r="U205" i="34"/>
  <c r="W286" i="34" s="1"/>
  <c r="N205" i="34"/>
  <c r="O286" i="34" s="1"/>
  <c r="G205" i="34"/>
  <c r="U204" i="34"/>
  <c r="W265" i="34" s="1"/>
  <c r="N204" i="34"/>
  <c r="O265" i="34" s="1"/>
  <c r="G204" i="34"/>
  <c r="G265" i="34" s="1"/>
  <c r="U203" i="34"/>
  <c r="W244" i="34" s="1"/>
  <c r="N203" i="34"/>
  <c r="O244" i="34" s="1"/>
  <c r="G203" i="34"/>
  <c r="G244" i="34" s="1"/>
  <c r="L202" i="34"/>
  <c r="S202" i="34" s="1"/>
  <c r="K202" i="34"/>
  <c r="R202" i="34" s="1"/>
  <c r="I200" i="34"/>
  <c r="P200" i="34" s="1"/>
  <c r="U198" i="34"/>
  <c r="W369" i="34" s="1"/>
  <c r="N198" i="34"/>
  <c r="O369" i="34" s="1"/>
  <c r="G198" i="34"/>
  <c r="G369" i="34" s="1"/>
  <c r="U197" i="34"/>
  <c r="W348" i="34" s="1"/>
  <c r="N197" i="34"/>
  <c r="O348" i="34" s="1"/>
  <c r="G197" i="34"/>
  <c r="G348" i="34" s="1"/>
  <c r="U196" i="34"/>
  <c r="W327" i="34" s="1"/>
  <c r="N196" i="34"/>
  <c r="O327" i="34" s="1"/>
  <c r="G196" i="34"/>
  <c r="G327" i="34" s="1"/>
  <c r="U195" i="34"/>
  <c r="W306" i="34" s="1"/>
  <c r="N195" i="34"/>
  <c r="O306" i="34" s="1"/>
  <c r="G195" i="34"/>
  <c r="G306" i="34" s="1"/>
  <c r="U194" i="34"/>
  <c r="W285" i="34" s="1"/>
  <c r="N194" i="34"/>
  <c r="O285" i="34" s="1"/>
  <c r="G194" i="34"/>
  <c r="U193" i="34"/>
  <c r="W264" i="34" s="1"/>
  <c r="N193" i="34"/>
  <c r="O264" i="34" s="1"/>
  <c r="G193" i="34"/>
  <c r="G264" i="34" s="1"/>
  <c r="U192" i="34"/>
  <c r="W243" i="34" s="1"/>
  <c r="N192" i="34"/>
  <c r="O243" i="34" s="1"/>
  <c r="G192" i="34"/>
  <c r="G243" i="34" s="1"/>
  <c r="L191" i="34"/>
  <c r="S191" i="34" s="1"/>
  <c r="K191" i="34"/>
  <c r="R191" i="34" s="1"/>
  <c r="I189" i="34"/>
  <c r="P189" i="34" s="1"/>
  <c r="U187" i="34"/>
  <c r="W368" i="34" s="1"/>
  <c r="N187" i="34"/>
  <c r="O368" i="34" s="1"/>
  <c r="G187" i="34"/>
  <c r="G368" i="34" s="1"/>
  <c r="U186" i="34"/>
  <c r="W347" i="34" s="1"/>
  <c r="N186" i="34"/>
  <c r="O347" i="34" s="1"/>
  <c r="G186" i="34"/>
  <c r="G347" i="34" s="1"/>
  <c r="U185" i="34"/>
  <c r="W326" i="34" s="1"/>
  <c r="N185" i="34"/>
  <c r="O326" i="34" s="1"/>
  <c r="G185" i="34"/>
  <c r="G326" i="34" s="1"/>
  <c r="U184" i="34"/>
  <c r="W305" i="34" s="1"/>
  <c r="N184" i="34"/>
  <c r="O305" i="34" s="1"/>
  <c r="G184" i="34"/>
  <c r="G305" i="34" s="1"/>
  <c r="U183" i="34"/>
  <c r="W284" i="34" s="1"/>
  <c r="N183" i="34"/>
  <c r="O284" i="34" s="1"/>
  <c r="G183" i="34"/>
  <c r="G284" i="34" s="1"/>
  <c r="U182" i="34"/>
  <c r="W263" i="34" s="1"/>
  <c r="N182" i="34"/>
  <c r="O263" i="34" s="1"/>
  <c r="G182" i="34"/>
  <c r="G263" i="34" s="1"/>
  <c r="U181" i="34"/>
  <c r="W242" i="34" s="1"/>
  <c r="N181" i="34"/>
  <c r="O242" i="34" s="1"/>
  <c r="G181" i="34"/>
  <c r="G242" i="34" s="1"/>
  <c r="L180" i="34"/>
  <c r="S180" i="34" s="1"/>
  <c r="K180" i="34"/>
  <c r="R180" i="34" s="1"/>
  <c r="I178" i="34"/>
  <c r="P178" i="34" s="1"/>
  <c r="U176" i="34"/>
  <c r="W367" i="34" s="1"/>
  <c r="N176" i="34"/>
  <c r="O367" i="34" s="1"/>
  <c r="G176" i="34"/>
  <c r="G367" i="34" s="1"/>
  <c r="U175" i="34"/>
  <c r="W346" i="34" s="1"/>
  <c r="N175" i="34"/>
  <c r="O346" i="34" s="1"/>
  <c r="G175" i="34"/>
  <c r="G346" i="34" s="1"/>
  <c r="U174" i="34"/>
  <c r="W325" i="34" s="1"/>
  <c r="N174" i="34"/>
  <c r="O325" i="34" s="1"/>
  <c r="G174" i="34"/>
  <c r="G325" i="34" s="1"/>
  <c r="U173" i="34"/>
  <c r="W304" i="34" s="1"/>
  <c r="N173" i="34"/>
  <c r="O304" i="34" s="1"/>
  <c r="G173" i="34"/>
  <c r="G304" i="34" s="1"/>
  <c r="U172" i="34"/>
  <c r="W283" i="34" s="1"/>
  <c r="N172" i="34"/>
  <c r="O283" i="34" s="1"/>
  <c r="G172" i="34"/>
  <c r="G283" i="34" s="1"/>
  <c r="U171" i="34"/>
  <c r="W262" i="34" s="1"/>
  <c r="N171" i="34"/>
  <c r="O262" i="34" s="1"/>
  <c r="G171" i="34"/>
  <c r="G262" i="34" s="1"/>
  <c r="U170" i="34"/>
  <c r="W241" i="34" s="1"/>
  <c r="N170" i="34"/>
  <c r="O241" i="34" s="1"/>
  <c r="G170" i="34"/>
  <c r="G241" i="34" s="1"/>
  <c r="L169" i="34"/>
  <c r="S169" i="34" s="1"/>
  <c r="K169" i="34"/>
  <c r="R169" i="34" s="1"/>
  <c r="I167" i="34"/>
  <c r="P167" i="34" s="1"/>
  <c r="U165" i="34"/>
  <c r="W366" i="34" s="1"/>
  <c r="N165" i="34"/>
  <c r="O366" i="34" s="1"/>
  <c r="G165" i="34"/>
  <c r="G366" i="34" s="1"/>
  <c r="U164" i="34"/>
  <c r="W345" i="34" s="1"/>
  <c r="N164" i="34"/>
  <c r="O345" i="34" s="1"/>
  <c r="G164" i="34"/>
  <c r="G345" i="34" s="1"/>
  <c r="U163" i="34"/>
  <c r="W324" i="34" s="1"/>
  <c r="N163" i="34"/>
  <c r="O324" i="34" s="1"/>
  <c r="G163" i="34"/>
  <c r="G324" i="34" s="1"/>
  <c r="U162" i="34"/>
  <c r="W303" i="34" s="1"/>
  <c r="N162" i="34"/>
  <c r="O303" i="34" s="1"/>
  <c r="G162" i="34"/>
  <c r="G303" i="34" s="1"/>
  <c r="U161" i="34"/>
  <c r="W282" i="34" s="1"/>
  <c r="N161" i="34"/>
  <c r="O282" i="34" s="1"/>
  <c r="G161" i="34"/>
  <c r="G282" i="34" s="1"/>
  <c r="U160" i="34"/>
  <c r="W261" i="34" s="1"/>
  <c r="N160" i="34"/>
  <c r="O261" i="34" s="1"/>
  <c r="G160" i="34"/>
  <c r="G261" i="34" s="1"/>
  <c r="U159" i="34"/>
  <c r="W240" i="34" s="1"/>
  <c r="R159" i="34"/>
  <c r="N159" i="34"/>
  <c r="O240" i="34" s="1"/>
  <c r="G159" i="34"/>
  <c r="G240" i="34" s="1"/>
  <c r="M158" i="34"/>
  <c r="T158" i="34" s="1"/>
  <c r="L158" i="34"/>
  <c r="S158" i="34" s="1"/>
  <c r="I156" i="34"/>
  <c r="P156" i="34" s="1"/>
  <c r="U154" i="34"/>
  <c r="W365" i="34" s="1"/>
  <c r="N154" i="34"/>
  <c r="O365" i="34" s="1"/>
  <c r="G154" i="34"/>
  <c r="G365" i="34" s="1"/>
  <c r="U153" i="34"/>
  <c r="W344" i="34" s="1"/>
  <c r="N153" i="34"/>
  <c r="O344" i="34" s="1"/>
  <c r="G153" i="34"/>
  <c r="G344" i="34" s="1"/>
  <c r="U152" i="34"/>
  <c r="W323" i="34" s="1"/>
  <c r="N152" i="34"/>
  <c r="O323" i="34" s="1"/>
  <c r="G152" i="34"/>
  <c r="G323" i="34" s="1"/>
  <c r="U151" i="34"/>
  <c r="W302" i="34" s="1"/>
  <c r="N151" i="34"/>
  <c r="G151" i="34"/>
  <c r="U150" i="34"/>
  <c r="W281" i="34" s="1"/>
  <c r="N150" i="34"/>
  <c r="G150" i="34"/>
  <c r="G281" i="34" s="1"/>
  <c r="U149" i="34"/>
  <c r="W260" i="34" s="1"/>
  <c r="N149" i="34"/>
  <c r="O260" i="34" s="1"/>
  <c r="G149" i="34"/>
  <c r="G260" i="34" s="1"/>
  <c r="U148" i="34"/>
  <c r="W239" i="34" s="1"/>
  <c r="R148" i="34"/>
  <c r="N148" i="34"/>
  <c r="O239" i="34" s="1"/>
  <c r="G148" i="34"/>
  <c r="G239" i="34" s="1"/>
  <c r="M147" i="34"/>
  <c r="T147" i="34" s="1"/>
  <c r="L147" i="34"/>
  <c r="S147" i="34" s="1"/>
  <c r="I145" i="34"/>
  <c r="P145" i="34" s="1"/>
  <c r="S143" i="34"/>
  <c r="N143" i="34"/>
  <c r="O364" i="34" s="1"/>
  <c r="G143" i="34"/>
  <c r="G364" i="34" s="1"/>
  <c r="U142" i="34"/>
  <c r="W343" i="34" s="1"/>
  <c r="N142" i="34"/>
  <c r="O343" i="34" s="1"/>
  <c r="G142" i="34"/>
  <c r="G343" i="34" s="1"/>
  <c r="U141" i="34"/>
  <c r="W322" i="34" s="1"/>
  <c r="N141" i="34"/>
  <c r="O322" i="34" s="1"/>
  <c r="G141" i="34"/>
  <c r="G322" i="34" s="1"/>
  <c r="U140" i="34"/>
  <c r="W301" i="34" s="1"/>
  <c r="N140" i="34"/>
  <c r="O301" i="34" s="1"/>
  <c r="G140" i="34"/>
  <c r="U139" i="34"/>
  <c r="W280" i="34" s="1"/>
  <c r="N139" i="34"/>
  <c r="O280" i="34" s="1"/>
  <c r="G139" i="34"/>
  <c r="G280" i="34" s="1"/>
  <c r="U138" i="34"/>
  <c r="W259" i="34" s="1"/>
  <c r="N138" i="34"/>
  <c r="O259" i="34" s="1"/>
  <c r="G138" i="34"/>
  <c r="G259" i="34" s="1"/>
  <c r="U137" i="34"/>
  <c r="W238" i="34" s="1"/>
  <c r="R137" i="34"/>
  <c r="N137" i="34"/>
  <c r="O238" i="34" s="1"/>
  <c r="G137" i="34"/>
  <c r="G238" i="34" s="1"/>
  <c r="M136" i="34"/>
  <c r="T136" i="34" s="1"/>
  <c r="L136" i="34"/>
  <c r="S136" i="34" s="1"/>
  <c r="I134" i="34"/>
  <c r="P134" i="34" s="1"/>
  <c r="U132" i="34"/>
  <c r="W363" i="34" s="1"/>
  <c r="N132" i="34"/>
  <c r="O363" i="34" s="1"/>
  <c r="G132" i="34"/>
  <c r="G363" i="34" s="1"/>
  <c r="U131" i="34"/>
  <c r="W342" i="34" s="1"/>
  <c r="N131" i="34"/>
  <c r="O342" i="34" s="1"/>
  <c r="G131" i="34"/>
  <c r="G342" i="34" s="1"/>
  <c r="U130" i="34"/>
  <c r="W321" i="34" s="1"/>
  <c r="N130" i="34"/>
  <c r="O321" i="34" s="1"/>
  <c r="G130" i="34"/>
  <c r="G321" i="34" s="1"/>
  <c r="U129" i="34"/>
  <c r="W300" i="34" s="1"/>
  <c r="N129" i="34"/>
  <c r="O300" i="34" s="1"/>
  <c r="G129" i="34"/>
  <c r="G300" i="34" s="1"/>
  <c r="U128" i="34"/>
  <c r="W279" i="34" s="1"/>
  <c r="N128" i="34"/>
  <c r="O279" i="34" s="1"/>
  <c r="G128" i="34"/>
  <c r="G279" i="34" s="1"/>
  <c r="U127" i="34"/>
  <c r="W258" i="34" s="1"/>
  <c r="N127" i="34"/>
  <c r="O258" i="34" s="1"/>
  <c r="G127" i="34"/>
  <c r="G258" i="34" s="1"/>
  <c r="U126" i="34"/>
  <c r="W237" i="34" s="1"/>
  <c r="N126" i="34"/>
  <c r="O237" i="34" s="1"/>
  <c r="G126" i="34"/>
  <c r="G237" i="34" s="1"/>
  <c r="L125" i="34"/>
  <c r="S125" i="34" s="1"/>
  <c r="K125" i="34"/>
  <c r="R125" i="34" s="1"/>
  <c r="I123" i="34"/>
  <c r="P123" i="34" s="1"/>
  <c r="U121" i="34"/>
  <c r="W362" i="34" s="1"/>
  <c r="N121" i="34"/>
  <c r="O362" i="34" s="1"/>
  <c r="G121" i="34"/>
  <c r="G362" i="34" s="1"/>
  <c r="U120" i="34"/>
  <c r="W341" i="34" s="1"/>
  <c r="N120" i="34"/>
  <c r="O341" i="34" s="1"/>
  <c r="G120" i="34"/>
  <c r="G341" i="34" s="1"/>
  <c r="U119" i="34"/>
  <c r="W320" i="34" s="1"/>
  <c r="N119" i="34"/>
  <c r="O320" i="34" s="1"/>
  <c r="G119" i="34"/>
  <c r="G320" i="34" s="1"/>
  <c r="U118" i="34"/>
  <c r="W299" i="34" s="1"/>
  <c r="N118" i="34"/>
  <c r="O299" i="34" s="1"/>
  <c r="G118" i="34"/>
  <c r="G299" i="34" s="1"/>
  <c r="U117" i="34"/>
  <c r="W278" i="34" s="1"/>
  <c r="N117" i="34"/>
  <c r="O278" i="34" s="1"/>
  <c r="G117" i="34"/>
  <c r="G278" i="34" s="1"/>
  <c r="U116" i="34"/>
  <c r="W257" i="34" s="1"/>
  <c r="N116" i="34"/>
  <c r="O257" i="34" s="1"/>
  <c r="G116" i="34"/>
  <c r="G257" i="34" s="1"/>
  <c r="U115" i="34"/>
  <c r="W236" i="34" s="1"/>
  <c r="N115" i="34"/>
  <c r="O236" i="34" s="1"/>
  <c r="G115" i="34"/>
  <c r="G236" i="34" s="1"/>
  <c r="L114" i="34"/>
  <c r="S114" i="34" s="1"/>
  <c r="K114" i="34"/>
  <c r="R114" i="34" s="1"/>
  <c r="I112" i="34"/>
  <c r="P112" i="34" s="1"/>
  <c r="U110" i="34"/>
  <c r="W361" i="34" s="1"/>
  <c r="N110" i="34"/>
  <c r="O361" i="34" s="1"/>
  <c r="G110" i="34"/>
  <c r="G361" i="34" s="1"/>
  <c r="U109" i="34"/>
  <c r="W340" i="34" s="1"/>
  <c r="N109" i="34"/>
  <c r="O340" i="34" s="1"/>
  <c r="G109" i="34"/>
  <c r="G340" i="34" s="1"/>
  <c r="U108" i="34"/>
  <c r="W319" i="34" s="1"/>
  <c r="N108" i="34"/>
  <c r="O319" i="34" s="1"/>
  <c r="G108" i="34"/>
  <c r="G319" i="34" s="1"/>
  <c r="U107" i="34"/>
  <c r="W298" i="34" s="1"/>
  <c r="N107" i="34"/>
  <c r="O298" i="34" s="1"/>
  <c r="G107" i="34"/>
  <c r="G298" i="34" s="1"/>
  <c r="U106" i="34"/>
  <c r="W277" i="34" s="1"/>
  <c r="N106" i="34"/>
  <c r="O277" i="34" s="1"/>
  <c r="G106" i="34"/>
  <c r="G277" i="34" s="1"/>
  <c r="U105" i="34"/>
  <c r="W256" i="34" s="1"/>
  <c r="N105" i="34"/>
  <c r="O256" i="34" s="1"/>
  <c r="G105" i="34"/>
  <c r="G256" i="34" s="1"/>
  <c r="U104" i="34"/>
  <c r="W235" i="34" s="1"/>
  <c r="N104" i="34"/>
  <c r="O235" i="34" s="1"/>
  <c r="G104" i="34"/>
  <c r="G235" i="34" s="1"/>
  <c r="L103" i="34"/>
  <c r="S103" i="34" s="1"/>
  <c r="K103" i="34"/>
  <c r="R103" i="34" s="1"/>
  <c r="I101" i="34"/>
  <c r="P101" i="34" s="1"/>
  <c r="U99" i="34"/>
  <c r="W360" i="34" s="1"/>
  <c r="N99" i="34"/>
  <c r="O360" i="34" s="1"/>
  <c r="G99" i="34"/>
  <c r="G360" i="34" s="1"/>
  <c r="U98" i="34"/>
  <c r="W339" i="34" s="1"/>
  <c r="N98" i="34"/>
  <c r="O339" i="34" s="1"/>
  <c r="G98" i="34"/>
  <c r="G339" i="34" s="1"/>
  <c r="U97" i="34"/>
  <c r="W318" i="34" s="1"/>
  <c r="N97" i="34"/>
  <c r="O318" i="34" s="1"/>
  <c r="G97" i="34"/>
  <c r="G318" i="34" s="1"/>
  <c r="U96" i="34"/>
  <c r="W297" i="34" s="1"/>
  <c r="N96" i="34"/>
  <c r="O297" i="34" s="1"/>
  <c r="G96" i="34"/>
  <c r="G297" i="34" s="1"/>
  <c r="U95" i="34"/>
  <c r="W276" i="34" s="1"/>
  <c r="N95" i="34"/>
  <c r="O276" i="34" s="1"/>
  <c r="G95" i="34"/>
  <c r="G276" i="34" s="1"/>
  <c r="U94" i="34"/>
  <c r="W255" i="34" s="1"/>
  <c r="N94" i="34"/>
  <c r="O255" i="34" s="1"/>
  <c r="G94" i="34"/>
  <c r="G255" i="34" s="1"/>
  <c r="U93" i="34"/>
  <c r="W234" i="34" s="1"/>
  <c r="N93" i="34"/>
  <c r="O234" i="34" s="1"/>
  <c r="G93" i="34"/>
  <c r="G234" i="34" s="1"/>
  <c r="L92" i="34"/>
  <c r="S92" i="34" s="1"/>
  <c r="K92" i="34"/>
  <c r="R92" i="34" s="1"/>
  <c r="I90" i="34"/>
  <c r="P90" i="34" s="1"/>
  <c r="U88" i="34"/>
  <c r="W359" i="34" s="1"/>
  <c r="N88" i="34"/>
  <c r="O359" i="34" s="1"/>
  <c r="G88" i="34"/>
  <c r="G359" i="34" s="1"/>
  <c r="U87" i="34"/>
  <c r="W338" i="34" s="1"/>
  <c r="N87" i="34"/>
  <c r="O338" i="34" s="1"/>
  <c r="G87" i="34"/>
  <c r="G338" i="34" s="1"/>
  <c r="U86" i="34"/>
  <c r="W317" i="34" s="1"/>
  <c r="N86" i="34"/>
  <c r="O317" i="34" s="1"/>
  <c r="G86" i="34"/>
  <c r="G317" i="34" s="1"/>
  <c r="U85" i="34"/>
  <c r="W296" i="34" s="1"/>
  <c r="N85" i="34"/>
  <c r="O296" i="34" s="1"/>
  <c r="G85" i="34"/>
  <c r="G296" i="34" s="1"/>
  <c r="U84" i="34"/>
  <c r="W275" i="34" s="1"/>
  <c r="N84" i="34"/>
  <c r="O275" i="34" s="1"/>
  <c r="G84" i="34"/>
  <c r="G275" i="34" s="1"/>
  <c r="U83" i="34"/>
  <c r="W254" i="34" s="1"/>
  <c r="N83" i="34"/>
  <c r="O254" i="34" s="1"/>
  <c r="G83" i="34"/>
  <c r="G254" i="34" s="1"/>
  <c r="U82" i="34"/>
  <c r="W233" i="34" s="1"/>
  <c r="N82" i="34"/>
  <c r="O233" i="34" s="1"/>
  <c r="G82" i="34"/>
  <c r="G233" i="34" s="1"/>
  <c r="L81" i="34"/>
  <c r="S81" i="34" s="1"/>
  <c r="K81" i="34"/>
  <c r="R81" i="34" s="1"/>
  <c r="I79" i="34"/>
  <c r="P79" i="34" s="1"/>
  <c r="U77" i="34"/>
  <c r="W358" i="34" s="1"/>
  <c r="N77" i="34"/>
  <c r="O358" i="34" s="1"/>
  <c r="G77" i="34"/>
  <c r="G358" i="34" s="1"/>
  <c r="U76" i="34"/>
  <c r="W337" i="34" s="1"/>
  <c r="N76" i="34"/>
  <c r="O337" i="34" s="1"/>
  <c r="G76" i="34"/>
  <c r="G337" i="34" s="1"/>
  <c r="U75" i="34"/>
  <c r="W316" i="34" s="1"/>
  <c r="N75" i="34"/>
  <c r="O316" i="34" s="1"/>
  <c r="G75" i="34"/>
  <c r="G316" i="34" s="1"/>
  <c r="U74" i="34"/>
  <c r="W295" i="34" s="1"/>
  <c r="N74" i="34"/>
  <c r="O295" i="34" s="1"/>
  <c r="G74" i="34"/>
  <c r="G295" i="34" s="1"/>
  <c r="U73" i="34"/>
  <c r="W274" i="34" s="1"/>
  <c r="N73" i="34"/>
  <c r="O274" i="34" s="1"/>
  <c r="G73" i="34"/>
  <c r="G274" i="34" s="1"/>
  <c r="U72" i="34"/>
  <c r="W253" i="34" s="1"/>
  <c r="N72" i="34"/>
  <c r="O253" i="34" s="1"/>
  <c r="G72" i="34"/>
  <c r="G253" i="34" s="1"/>
  <c r="U71" i="34"/>
  <c r="W232" i="34" s="1"/>
  <c r="N71" i="34"/>
  <c r="O232" i="34" s="1"/>
  <c r="G71" i="34"/>
  <c r="G232" i="34" s="1"/>
  <c r="L70" i="34"/>
  <c r="S70" i="34" s="1"/>
  <c r="K70" i="34"/>
  <c r="R70" i="34" s="1"/>
  <c r="I68" i="34"/>
  <c r="P68" i="34" s="1"/>
  <c r="U66" i="34"/>
  <c r="W357" i="34" s="1"/>
  <c r="N66" i="34"/>
  <c r="O357" i="34" s="1"/>
  <c r="G66" i="34"/>
  <c r="G357" i="34" s="1"/>
  <c r="U65" i="34"/>
  <c r="W336" i="34" s="1"/>
  <c r="N65" i="34"/>
  <c r="O336" i="34" s="1"/>
  <c r="G65" i="34"/>
  <c r="G336" i="34" s="1"/>
  <c r="U64" i="34"/>
  <c r="W315" i="34" s="1"/>
  <c r="N64" i="34"/>
  <c r="O315" i="34" s="1"/>
  <c r="G64" i="34"/>
  <c r="G315" i="34" s="1"/>
  <c r="U63" i="34"/>
  <c r="W294" i="34" s="1"/>
  <c r="N63" i="34"/>
  <c r="O294" i="34" s="1"/>
  <c r="G63" i="34"/>
  <c r="G294" i="34" s="1"/>
  <c r="U62" i="34"/>
  <c r="W273" i="34" s="1"/>
  <c r="N62" i="34"/>
  <c r="O273" i="34" s="1"/>
  <c r="G62" i="34"/>
  <c r="G273" i="34" s="1"/>
  <c r="U61" i="34"/>
  <c r="W252" i="34" s="1"/>
  <c r="N61" i="34"/>
  <c r="O252" i="34" s="1"/>
  <c r="G61" i="34"/>
  <c r="G252" i="34" s="1"/>
  <c r="U60" i="34"/>
  <c r="W231" i="34" s="1"/>
  <c r="N60" i="34"/>
  <c r="O231" i="34" s="1"/>
  <c r="G60" i="34"/>
  <c r="G231" i="34" s="1"/>
  <c r="L59" i="34"/>
  <c r="S59" i="34" s="1"/>
  <c r="K59" i="34"/>
  <c r="R59" i="34" s="1"/>
  <c r="I57" i="34"/>
  <c r="P57" i="34" s="1"/>
  <c r="U55" i="34"/>
  <c r="W356" i="34" s="1"/>
  <c r="N55" i="34"/>
  <c r="O356" i="34" s="1"/>
  <c r="G55" i="34"/>
  <c r="G356" i="34" s="1"/>
  <c r="U54" i="34"/>
  <c r="W335" i="34" s="1"/>
  <c r="N54" i="34"/>
  <c r="O335" i="34" s="1"/>
  <c r="G54" i="34"/>
  <c r="G335" i="34" s="1"/>
  <c r="U53" i="34"/>
  <c r="W314" i="34" s="1"/>
  <c r="N53" i="34"/>
  <c r="O314" i="34" s="1"/>
  <c r="G53" i="34"/>
  <c r="G314" i="34" s="1"/>
  <c r="U52" i="34"/>
  <c r="W293" i="34" s="1"/>
  <c r="N52" i="34"/>
  <c r="O293" i="34" s="1"/>
  <c r="G52" i="34"/>
  <c r="G293" i="34" s="1"/>
  <c r="U51" i="34"/>
  <c r="W272" i="34" s="1"/>
  <c r="N51" i="34"/>
  <c r="O272" i="34" s="1"/>
  <c r="G51" i="34"/>
  <c r="G272" i="34" s="1"/>
  <c r="U50" i="34"/>
  <c r="W251" i="34" s="1"/>
  <c r="N50" i="34"/>
  <c r="O251" i="34" s="1"/>
  <c r="G50" i="34"/>
  <c r="G251" i="34" s="1"/>
  <c r="U49" i="34"/>
  <c r="W230" i="34" s="1"/>
  <c r="N49" i="34"/>
  <c r="O230" i="34" s="1"/>
  <c r="G49" i="34"/>
  <c r="G230" i="34" s="1"/>
  <c r="L48" i="34"/>
  <c r="S48" i="34" s="1"/>
  <c r="K48" i="34"/>
  <c r="R48" i="34" s="1"/>
  <c r="I46" i="34"/>
  <c r="P46" i="34" s="1"/>
  <c r="U44" i="34"/>
  <c r="W355" i="34" s="1"/>
  <c r="N44" i="34"/>
  <c r="O355" i="34" s="1"/>
  <c r="G44" i="34"/>
  <c r="G355" i="34" s="1"/>
  <c r="U43" i="34"/>
  <c r="W334" i="34" s="1"/>
  <c r="N43" i="34"/>
  <c r="O334" i="34" s="1"/>
  <c r="G43" i="34"/>
  <c r="G334" i="34" s="1"/>
  <c r="U42" i="34"/>
  <c r="W313" i="34" s="1"/>
  <c r="N42" i="34"/>
  <c r="O313" i="34" s="1"/>
  <c r="G42" i="34"/>
  <c r="G313" i="34" s="1"/>
  <c r="U41" i="34"/>
  <c r="W292" i="34" s="1"/>
  <c r="N41" i="34"/>
  <c r="O292" i="34" s="1"/>
  <c r="G41" i="34"/>
  <c r="G292" i="34" s="1"/>
  <c r="U40" i="34"/>
  <c r="W271" i="34" s="1"/>
  <c r="N40" i="34"/>
  <c r="O271" i="34" s="1"/>
  <c r="G40" i="34"/>
  <c r="G271" i="34" s="1"/>
  <c r="U39" i="34"/>
  <c r="W250" i="34" s="1"/>
  <c r="N39" i="34"/>
  <c r="O250" i="34" s="1"/>
  <c r="G39" i="34"/>
  <c r="G250" i="34" s="1"/>
  <c r="U38" i="34"/>
  <c r="W229" i="34" s="1"/>
  <c r="N38" i="34"/>
  <c r="O229" i="34" s="1"/>
  <c r="G38" i="34"/>
  <c r="G229" i="34" s="1"/>
  <c r="L37" i="34"/>
  <c r="S37" i="34" s="1"/>
  <c r="K37" i="34"/>
  <c r="R37" i="34" s="1"/>
  <c r="I35" i="34"/>
  <c r="P35" i="34" s="1"/>
  <c r="U33" i="34"/>
  <c r="W354" i="34" s="1"/>
  <c r="N33" i="34"/>
  <c r="O354" i="34" s="1"/>
  <c r="G33" i="34"/>
  <c r="G354" i="34" s="1"/>
  <c r="U32" i="34"/>
  <c r="W333" i="34" s="1"/>
  <c r="N32" i="34"/>
  <c r="O333" i="34" s="1"/>
  <c r="G32" i="34"/>
  <c r="G333" i="34" s="1"/>
  <c r="U31" i="34"/>
  <c r="W312" i="34" s="1"/>
  <c r="N31" i="34"/>
  <c r="O312" i="34" s="1"/>
  <c r="G31" i="34"/>
  <c r="G312" i="34" s="1"/>
  <c r="U30" i="34"/>
  <c r="W291" i="34" s="1"/>
  <c r="N30" i="34"/>
  <c r="O291" i="34" s="1"/>
  <c r="G30" i="34"/>
  <c r="G291" i="34" s="1"/>
  <c r="U29" i="34"/>
  <c r="W270" i="34" s="1"/>
  <c r="N29" i="34"/>
  <c r="O270" i="34" s="1"/>
  <c r="G29" i="34"/>
  <c r="G270" i="34" s="1"/>
  <c r="U28" i="34"/>
  <c r="W249" i="34" s="1"/>
  <c r="N28" i="34"/>
  <c r="O249" i="34" s="1"/>
  <c r="G28" i="34"/>
  <c r="G249" i="34" s="1"/>
  <c r="U27" i="34"/>
  <c r="W228" i="34" s="1"/>
  <c r="N27" i="34"/>
  <c r="O228" i="34" s="1"/>
  <c r="G27" i="34"/>
  <c r="G228" i="34" s="1"/>
  <c r="L26" i="34"/>
  <c r="S26" i="34" s="1"/>
  <c r="K26" i="34"/>
  <c r="R26" i="34" s="1"/>
  <c r="I24" i="34"/>
  <c r="P24" i="34" s="1"/>
  <c r="U22" i="34"/>
  <c r="W353" i="34" s="1"/>
  <c r="N22" i="34"/>
  <c r="O353" i="34" s="1"/>
  <c r="G22" i="34"/>
  <c r="G353" i="34" s="1"/>
  <c r="U21" i="34"/>
  <c r="W332" i="34" s="1"/>
  <c r="N21" i="34"/>
  <c r="O332" i="34" s="1"/>
  <c r="G21" i="34"/>
  <c r="G332" i="34" s="1"/>
  <c r="U20" i="34"/>
  <c r="W311" i="34" s="1"/>
  <c r="N20" i="34"/>
  <c r="O311" i="34" s="1"/>
  <c r="G20" i="34"/>
  <c r="G311" i="34" s="1"/>
  <c r="U19" i="34"/>
  <c r="W290" i="34" s="1"/>
  <c r="N19" i="34"/>
  <c r="O290" i="34" s="1"/>
  <c r="G19" i="34"/>
  <c r="G290" i="34" s="1"/>
  <c r="U18" i="34"/>
  <c r="W269" i="34" s="1"/>
  <c r="N18" i="34"/>
  <c r="O269" i="34" s="1"/>
  <c r="G18" i="34"/>
  <c r="G269" i="34" s="1"/>
  <c r="U17" i="34"/>
  <c r="W248" i="34" s="1"/>
  <c r="N17" i="34"/>
  <c r="O248" i="34" s="1"/>
  <c r="G17" i="34"/>
  <c r="G248" i="34" s="1"/>
  <c r="U16" i="34"/>
  <c r="W227" i="34" s="1"/>
  <c r="N16" i="34"/>
  <c r="O227" i="34" s="1"/>
  <c r="G16" i="34"/>
  <c r="G227" i="34" s="1"/>
  <c r="L15" i="34"/>
  <c r="S15" i="34" s="1"/>
  <c r="K15" i="34"/>
  <c r="R15" i="34" s="1"/>
  <c r="I13" i="34"/>
  <c r="P13" i="34" s="1"/>
  <c r="U11" i="34"/>
  <c r="W352" i="34" s="1"/>
  <c r="N11" i="34"/>
  <c r="O352" i="34" s="1"/>
  <c r="G11" i="34"/>
  <c r="G352" i="34" s="1"/>
  <c r="U10" i="34"/>
  <c r="W331" i="34" s="1"/>
  <c r="N10" i="34"/>
  <c r="O331" i="34" s="1"/>
  <c r="G10" i="34"/>
  <c r="G331" i="34" s="1"/>
  <c r="U9" i="34"/>
  <c r="W310" i="34" s="1"/>
  <c r="N9" i="34"/>
  <c r="G9" i="34"/>
  <c r="G310" i="34" s="1"/>
  <c r="U8" i="34"/>
  <c r="W289" i="34" s="1"/>
  <c r="N8" i="34"/>
  <c r="O289" i="34" s="1"/>
  <c r="G8" i="34"/>
  <c r="G289" i="34" s="1"/>
  <c r="U7" i="34"/>
  <c r="W268" i="34" s="1"/>
  <c r="N7" i="34"/>
  <c r="O268" i="34" s="1"/>
  <c r="G7" i="34"/>
  <c r="G268" i="34" s="1"/>
  <c r="U6" i="34"/>
  <c r="W247" i="34" s="1"/>
  <c r="N6" i="34"/>
  <c r="O247" i="34" s="1"/>
  <c r="G6" i="34"/>
  <c r="G247" i="34" s="1"/>
  <c r="U5" i="34"/>
  <c r="W226" i="34" s="1"/>
  <c r="N5" i="34"/>
  <c r="O226" i="34" s="1"/>
  <c r="G5" i="34"/>
  <c r="G226" i="34" s="1"/>
  <c r="L4" i="34"/>
  <c r="S4" i="34" s="1"/>
  <c r="K4" i="34"/>
  <c r="R4" i="34" s="1"/>
  <c r="I2" i="34"/>
  <c r="P2" i="34" s="1"/>
  <c r="T364" i="34" l="1"/>
  <c r="U143" i="34"/>
  <c r="W364" i="34" s="1"/>
  <c r="A382" i="34"/>
  <c r="B265" i="35"/>
  <c r="A311" i="35"/>
  <c r="D378" i="34"/>
  <c r="A381" i="34"/>
  <c r="S373" i="34"/>
  <c r="W379" i="34" s="1"/>
  <c r="A379" i="34"/>
  <c r="G286" i="34"/>
  <c r="E378" i="34" s="1"/>
  <c r="G285" i="34"/>
  <c r="H373" i="34"/>
  <c r="D375" i="34"/>
  <c r="J375" i="34" s="1"/>
  <c r="P375" i="34" s="1"/>
  <c r="C375" i="34"/>
  <c r="I375" i="34" s="1"/>
  <c r="O375" i="34" s="1"/>
  <c r="B375" i="34"/>
  <c r="H375" i="34" s="1"/>
  <c r="N375" i="34" s="1"/>
  <c r="O302" i="34"/>
  <c r="O281" i="34"/>
  <c r="O310" i="34"/>
  <c r="G301" i="34"/>
  <c r="G302" i="34"/>
  <c r="C378" i="34"/>
  <c r="E376" i="34"/>
  <c r="B378" i="34"/>
  <c r="E377" i="34"/>
  <c r="D376" i="34"/>
  <c r="E380" i="34"/>
  <c r="A378" i="34"/>
  <c r="D377" i="34"/>
  <c r="C376" i="34"/>
  <c r="E382" i="34"/>
  <c r="E381" i="34"/>
  <c r="D380" i="34"/>
  <c r="E379" i="34"/>
  <c r="C377" i="34"/>
  <c r="B376" i="34"/>
  <c r="G373" i="34"/>
  <c r="D382" i="34"/>
  <c r="D381" i="34"/>
  <c r="C380" i="34"/>
  <c r="D379" i="34"/>
  <c r="B377" i="34"/>
  <c r="A376" i="34"/>
  <c r="C382" i="34"/>
  <c r="C381" i="34"/>
  <c r="B380" i="34"/>
  <c r="C379" i="34"/>
  <c r="A377" i="34"/>
  <c r="B382" i="34"/>
  <c r="B381" i="34"/>
  <c r="A380" i="34"/>
  <c r="B379" i="34"/>
  <c r="W378" i="34" l="1"/>
  <c r="A265" i="35"/>
  <c r="N298" i="35"/>
  <c r="N311" i="35" s="1"/>
  <c r="B45" i="7" s="1"/>
  <c r="D268" i="35"/>
  <c r="D276" i="35" s="1"/>
  <c r="D284" i="35" s="1"/>
  <c r="D290" i="35" s="1"/>
  <c r="C268" i="35"/>
  <c r="C276" i="35" s="1"/>
  <c r="C284" i="35" s="1"/>
  <c r="C290" i="35" s="1"/>
  <c r="B268" i="35"/>
  <c r="B276" i="35" s="1"/>
  <c r="B284" i="35" s="1"/>
  <c r="B290" i="35" s="1"/>
  <c r="W377" i="34"/>
  <c r="O391" i="34"/>
  <c r="G15" i="13" s="1"/>
  <c r="H17" i="7"/>
  <c r="S386" i="34"/>
  <c r="U377" i="34" s="1"/>
  <c r="N373" i="34"/>
  <c r="T373" i="34"/>
  <c r="I382" i="34"/>
  <c r="I381" i="34"/>
  <c r="H380" i="34"/>
  <c r="I379" i="34"/>
  <c r="G377" i="34"/>
  <c r="H382" i="34"/>
  <c r="H381" i="34"/>
  <c r="G380" i="34"/>
  <c r="H379" i="34"/>
  <c r="K378" i="34"/>
  <c r="M373" i="34"/>
  <c r="G382" i="34"/>
  <c r="G381" i="34"/>
  <c r="G379" i="34"/>
  <c r="J378" i="34"/>
  <c r="I378" i="34"/>
  <c r="K376" i="34"/>
  <c r="H378" i="34"/>
  <c r="K377" i="34"/>
  <c r="J376" i="34"/>
  <c r="K380" i="34"/>
  <c r="G378" i="34"/>
  <c r="J377" i="34"/>
  <c r="I376" i="34"/>
  <c r="K382" i="34"/>
  <c r="K381" i="34"/>
  <c r="J380" i="34"/>
  <c r="K379" i="34"/>
  <c r="I377" i="34"/>
  <c r="H376" i="34"/>
  <c r="J382" i="34"/>
  <c r="G376" i="34"/>
  <c r="J381" i="34"/>
  <c r="I380" i="34"/>
  <c r="J379" i="34"/>
  <c r="H377" i="34"/>
  <c r="J174" i="22"/>
  <c r="I174" i="22"/>
  <c r="J173" i="22"/>
  <c r="I173" i="22"/>
  <c r="J172" i="22"/>
  <c r="I172" i="22"/>
  <c r="J171" i="22"/>
  <c r="I171" i="22"/>
  <c r="J170" i="22"/>
  <c r="I170" i="22"/>
  <c r="J169" i="22"/>
  <c r="I169" i="22"/>
  <c r="J168" i="22"/>
  <c r="I168" i="22"/>
  <c r="J167" i="22"/>
  <c r="I167" i="22"/>
  <c r="J166" i="22"/>
  <c r="I166" i="22"/>
  <c r="J165" i="22"/>
  <c r="I165" i="22"/>
  <c r="J164" i="22"/>
  <c r="I164" i="22"/>
  <c r="J163" i="22"/>
  <c r="I163" i="22"/>
  <c r="A162" i="22"/>
  <c r="A175" i="22" s="1"/>
  <c r="E160" i="22"/>
  <c r="B160" i="22"/>
  <c r="K41" i="7" s="1"/>
  <c r="L41" i="7" s="1"/>
  <c r="A160" i="22"/>
  <c r="E159" i="22"/>
  <c r="B159" i="22"/>
  <c r="F151" i="22" s="1"/>
  <c r="A159" i="22"/>
  <c r="E158" i="22"/>
  <c r="B158" i="22"/>
  <c r="A147" i="22" s="1"/>
  <c r="A158" i="22"/>
  <c r="E157" i="22"/>
  <c r="B157" i="22"/>
  <c r="A157" i="22"/>
  <c r="I156" i="22"/>
  <c r="E156" i="22"/>
  <c r="F35" i="9"/>
  <c r="F34" i="13" s="1"/>
  <c r="A156" i="22"/>
  <c r="A139" i="22"/>
  <c r="A125" i="22"/>
  <c r="A124" i="22"/>
  <c r="G120" i="22"/>
  <c r="E120" i="22"/>
  <c r="D120" i="22"/>
  <c r="C120" i="22"/>
  <c r="E119" i="22"/>
  <c r="D119" i="22"/>
  <c r="C119" i="22"/>
  <c r="E118" i="22"/>
  <c r="D118" i="22"/>
  <c r="C118" i="22"/>
  <c r="E117" i="22"/>
  <c r="D117" i="22"/>
  <c r="C117" i="22"/>
  <c r="E116" i="22"/>
  <c r="D116" i="22"/>
  <c r="C116" i="22"/>
  <c r="E115" i="22"/>
  <c r="D115" i="22"/>
  <c r="C115" i="22"/>
  <c r="E114" i="22"/>
  <c r="D114" i="22"/>
  <c r="C114" i="22"/>
  <c r="F113" i="22"/>
  <c r="E113" i="22"/>
  <c r="D113" i="22"/>
  <c r="C113" i="22"/>
  <c r="E112" i="22"/>
  <c r="D112" i="22"/>
  <c r="C112" i="22"/>
  <c r="E111" i="22"/>
  <c r="D111" i="22"/>
  <c r="C111" i="22"/>
  <c r="E110" i="22"/>
  <c r="D110" i="22"/>
  <c r="C110" i="22"/>
  <c r="E109" i="22"/>
  <c r="D109" i="22"/>
  <c r="C109" i="22"/>
  <c r="G108" i="22"/>
  <c r="E108" i="22"/>
  <c r="D108" i="22"/>
  <c r="C108" i="22"/>
  <c r="E107" i="22"/>
  <c r="D107" i="22"/>
  <c r="C107" i="22"/>
  <c r="P106" i="22"/>
  <c r="O106" i="22"/>
  <c r="N106" i="22"/>
  <c r="M106" i="22"/>
  <c r="L106" i="22"/>
  <c r="E106" i="22"/>
  <c r="D106" i="22"/>
  <c r="C106" i="22"/>
  <c r="P105" i="22"/>
  <c r="O105" i="22"/>
  <c r="N105" i="22"/>
  <c r="M105" i="22"/>
  <c r="L105" i="22"/>
  <c r="E105" i="22"/>
  <c r="D105" i="22"/>
  <c r="C105" i="22"/>
  <c r="P104" i="22"/>
  <c r="O104" i="22"/>
  <c r="N104" i="22"/>
  <c r="M104" i="22"/>
  <c r="L104" i="22"/>
  <c r="E104" i="22"/>
  <c r="D104" i="22"/>
  <c r="C104" i="22"/>
  <c r="P103" i="22"/>
  <c r="O103" i="22"/>
  <c r="N103" i="22"/>
  <c r="M103" i="22"/>
  <c r="L103" i="22"/>
  <c r="E103" i="22"/>
  <c r="D103" i="22"/>
  <c r="C103" i="22"/>
  <c r="P102" i="22"/>
  <c r="O102" i="22"/>
  <c r="N102" i="22"/>
  <c r="M102" i="22"/>
  <c r="L102" i="22"/>
  <c r="E102" i="22"/>
  <c r="D102" i="22"/>
  <c r="C102" i="22"/>
  <c r="P101" i="22"/>
  <c r="O101" i="22"/>
  <c r="N101" i="22"/>
  <c r="M101" i="22"/>
  <c r="L101" i="22"/>
  <c r="F101" i="22"/>
  <c r="E101" i="22"/>
  <c r="D101" i="22"/>
  <c r="C101" i="22"/>
  <c r="P100" i="22"/>
  <c r="O100" i="22"/>
  <c r="N100" i="22"/>
  <c r="M100" i="22"/>
  <c r="L100" i="22"/>
  <c r="E100" i="22"/>
  <c r="D100" i="22"/>
  <c r="C100" i="22"/>
  <c r="P99" i="22"/>
  <c r="O99" i="22"/>
  <c r="N99" i="22"/>
  <c r="M99" i="22"/>
  <c r="L99" i="22"/>
  <c r="E99" i="22"/>
  <c r="D99" i="22"/>
  <c r="C99" i="22"/>
  <c r="P98" i="22"/>
  <c r="O98" i="22"/>
  <c r="N98" i="22"/>
  <c r="M98" i="22"/>
  <c r="L98" i="22"/>
  <c r="E98" i="22"/>
  <c r="D98" i="22"/>
  <c r="C98" i="22"/>
  <c r="P97" i="22"/>
  <c r="O97" i="22"/>
  <c r="N97" i="22"/>
  <c r="M97" i="22"/>
  <c r="L97" i="22"/>
  <c r="E97" i="22"/>
  <c r="D97" i="22"/>
  <c r="C97" i="22"/>
  <c r="G96" i="22"/>
  <c r="E96" i="22"/>
  <c r="D96" i="22"/>
  <c r="C96" i="22"/>
  <c r="E95" i="22"/>
  <c r="D95" i="22"/>
  <c r="C95" i="22"/>
  <c r="P94" i="22"/>
  <c r="O94" i="22"/>
  <c r="N94" i="22"/>
  <c r="M94" i="22"/>
  <c r="L94" i="22"/>
  <c r="E94" i="22"/>
  <c r="D94" i="22"/>
  <c r="C94" i="22"/>
  <c r="P93" i="22"/>
  <c r="O93" i="22"/>
  <c r="N93" i="22"/>
  <c r="M93" i="22"/>
  <c r="L93" i="22"/>
  <c r="E93" i="22"/>
  <c r="D93" i="22"/>
  <c r="C93" i="22"/>
  <c r="P92" i="22"/>
  <c r="O92" i="22"/>
  <c r="N92" i="22"/>
  <c r="M92" i="22"/>
  <c r="L92" i="22"/>
  <c r="E92" i="22"/>
  <c r="D92" i="22"/>
  <c r="C92" i="22"/>
  <c r="P91" i="22"/>
  <c r="O91" i="22"/>
  <c r="N91" i="22"/>
  <c r="M91" i="22"/>
  <c r="L91" i="22"/>
  <c r="E91" i="22"/>
  <c r="D91" i="22"/>
  <c r="C91" i="22"/>
  <c r="P90" i="22"/>
  <c r="O90" i="22"/>
  <c r="N90" i="22"/>
  <c r="M90" i="22"/>
  <c r="L90" i="22"/>
  <c r="E90" i="22"/>
  <c r="D90" i="22"/>
  <c r="C90" i="22"/>
  <c r="P89" i="22"/>
  <c r="O89" i="22"/>
  <c r="N89" i="22"/>
  <c r="M89" i="22"/>
  <c r="L89" i="22"/>
  <c r="F89" i="22"/>
  <c r="E89" i="22"/>
  <c r="D89" i="22"/>
  <c r="C89" i="22"/>
  <c r="P88" i="22"/>
  <c r="O88" i="22"/>
  <c r="N88" i="22"/>
  <c r="M88" i="22"/>
  <c r="L88" i="22"/>
  <c r="E88" i="22"/>
  <c r="D88" i="22"/>
  <c r="C88" i="22"/>
  <c r="P87" i="22"/>
  <c r="O87" i="22"/>
  <c r="N87" i="22"/>
  <c r="M87" i="22"/>
  <c r="L87" i="22"/>
  <c r="E87" i="22"/>
  <c r="D87" i="22"/>
  <c r="C87" i="22"/>
  <c r="P86" i="22"/>
  <c r="O86" i="22"/>
  <c r="N86" i="22"/>
  <c r="M86" i="22"/>
  <c r="L86" i="22"/>
  <c r="E86" i="22"/>
  <c r="D86" i="22"/>
  <c r="C86" i="22"/>
  <c r="P85" i="22"/>
  <c r="O85" i="22"/>
  <c r="N85" i="22"/>
  <c r="M85" i="22"/>
  <c r="L85" i="22"/>
  <c r="E85" i="22"/>
  <c r="D85" i="22"/>
  <c r="C85" i="22"/>
  <c r="E84" i="22"/>
  <c r="D84" i="22"/>
  <c r="C84" i="22"/>
  <c r="E83" i="22"/>
  <c r="D83" i="22"/>
  <c r="C83" i="22"/>
  <c r="P82" i="22"/>
  <c r="O82" i="22"/>
  <c r="N82" i="22"/>
  <c r="M82" i="22"/>
  <c r="L82" i="22"/>
  <c r="G82" i="22"/>
  <c r="F82" i="22"/>
  <c r="E82" i="22"/>
  <c r="D82" i="22"/>
  <c r="C82" i="22"/>
  <c r="P81" i="22"/>
  <c r="O81" i="22"/>
  <c r="N81" i="22"/>
  <c r="M81" i="22"/>
  <c r="L81" i="22"/>
  <c r="E81" i="22"/>
  <c r="D81" i="22"/>
  <c r="C81" i="22"/>
  <c r="P80" i="22"/>
  <c r="O80" i="22"/>
  <c r="N80" i="22"/>
  <c r="M80" i="22"/>
  <c r="L80" i="22"/>
  <c r="E80" i="22"/>
  <c r="D80" i="22"/>
  <c r="C80" i="22"/>
  <c r="P79" i="22"/>
  <c r="O79" i="22"/>
  <c r="N79" i="22"/>
  <c r="M79" i="22"/>
  <c r="L79" i="22"/>
  <c r="E79" i="22"/>
  <c r="D79" i="22"/>
  <c r="C79" i="22"/>
  <c r="P78" i="22"/>
  <c r="O78" i="22"/>
  <c r="N78" i="22"/>
  <c r="M78" i="22"/>
  <c r="L78" i="22"/>
  <c r="E78" i="22"/>
  <c r="D78" i="22"/>
  <c r="C78" i="22"/>
  <c r="P77" i="22"/>
  <c r="O77" i="22"/>
  <c r="N77" i="22"/>
  <c r="M77" i="22"/>
  <c r="L77" i="22"/>
  <c r="F77" i="22"/>
  <c r="E77" i="22"/>
  <c r="D77" i="22"/>
  <c r="C77" i="22"/>
  <c r="P76" i="22"/>
  <c r="O76" i="22"/>
  <c r="N76" i="22"/>
  <c r="M76" i="22"/>
  <c r="L76" i="22"/>
  <c r="E76" i="22"/>
  <c r="D76" i="22"/>
  <c r="C76" i="22"/>
  <c r="P75" i="22"/>
  <c r="O75" i="22"/>
  <c r="N75" i="22"/>
  <c r="M75" i="22"/>
  <c r="L75" i="22"/>
  <c r="E75" i="22"/>
  <c r="D75" i="22"/>
  <c r="C75" i="22"/>
  <c r="P74" i="22"/>
  <c r="O74" i="22"/>
  <c r="N74" i="22"/>
  <c r="M74" i="22"/>
  <c r="L74" i="22"/>
  <c r="E74" i="22"/>
  <c r="D74" i="22"/>
  <c r="C74" i="22"/>
  <c r="P73" i="22"/>
  <c r="O73" i="22"/>
  <c r="N73" i="22"/>
  <c r="M73" i="22"/>
  <c r="L73" i="22"/>
  <c r="E73" i="22"/>
  <c r="D73" i="22"/>
  <c r="C73" i="22"/>
  <c r="E72" i="22"/>
  <c r="D72" i="22"/>
  <c r="C72" i="22"/>
  <c r="E71" i="22"/>
  <c r="D71" i="22"/>
  <c r="C71" i="22"/>
  <c r="P70" i="22"/>
  <c r="O70" i="22"/>
  <c r="N70" i="22"/>
  <c r="M70" i="22"/>
  <c r="L70" i="22"/>
  <c r="E70" i="22"/>
  <c r="D70" i="22"/>
  <c r="C70" i="22"/>
  <c r="P69" i="22"/>
  <c r="O69" i="22"/>
  <c r="N69" i="22"/>
  <c r="M69" i="22"/>
  <c r="L69" i="22"/>
  <c r="E69" i="22"/>
  <c r="D69" i="22"/>
  <c r="C69" i="22"/>
  <c r="P68" i="22"/>
  <c r="O68" i="22"/>
  <c r="N68" i="22"/>
  <c r="M68" i="22"/>
  <c r="L68" i="22"/>
  <c r="E68" i="22"/>
  <c r="D68" i="22"/>
  <c r="C68" i="22"/>
  <c r="P67" i="22"/>
  <c r="O67" i="22"/>
  <c r="N67" i="22"/>
  <c r="M67" i="22"/>
  <c r="L67" i="22"/>
  <c r="E67" i="22"/>
  <c r="D67" i="22"/>
  <c r="C67" i="22"/>
  <c r="P66" i="22"/>
  <c r="O66" i="22"/>
  <c r="N66" i="22"/>
  <c r="M66" i="22"/>
  <c r="L66" i="22"/>
  <c r="E66" i="22"/>
  <c r="D66" i="22"/>
  <c r="C66" i="22"/>
  <c r="P65" i="22"/>
  <c r="O65" i="22"/>
  <c r="N65" i="22"/>
  <c r="M65" i="22"/>
  <c r="L65" i="22"/>
  <c r="F65" i="22"/>
  <c r="E65" i="22"/>
  <c r="D65" i="22"/>
  <c r="C65" i="22"/>
  <c r="P64" i="22"/>
  <c r="O64" i="22"/>
  <c r="N64" i="22"/>
  <c r="M64" i="22"/>
  <c r="L64" i="22"/>
  <c r="E64" i="22"/>
  <c r="D64" i="22"/>
  <c r="C64" i="22"/>
  <c r="P63" i="22"/>
  <c r="O63" i="22"/>
  <c r="N63" i="22"/>
  <c r="M63" i="22"/>
  <c r="L63" i="22"/>
  <c r="E63" i="22"/>
  <c r="D63" i="22"/>
  <c r="C63" i="22"/>
  <c r="P62" i="22"/>
  <c r="O62" i="22"/>
  <c r="N62" i="22"/>
  <c r="M62" i="22"/>
  <c r="L62" i="22"/>
  <c r="E62" i="22"/>
  <c r="D62" i="22"/>
  <c r="C62" i="22"/>
  <c r="P61" i="22"/>
  <c r="O61" i="22"/>
  <c r="N61" i="22"/>
  <c r="M61" i="22"/>
  <c r="L61" i="22"/>
  <c r="E61" i="22"/>
  <c r="D61" i="22"/>
  <c r="C61" i="22"/>
  <c r="C60" i="22"/>
  <c r="J58" i="22"/>
  <c r="C58" i="22"/>
  <c r="P50" i="22"/>
  <c r="F120" i="22" s="1"/>
  <c r="K50" i="22"/>
  <c r="G119" i="22" s="1"/>
  <c r="F119" i="22"/>
  <c r="E50" i="22"/>
  <c r="G118" i="22" s="1"/>
  <c r="D50" i="22"/>
  <c r="F118" i="22" s="1"/>
  <c r="P49" i="22"/>
  <c r="F108" i="22" s="1"/>
  <c r="K49" i="22"/>
  <c r="G107" i="22" s="1"/>
  <c r="F107" i="22"/>
  <c r="E49" i="22"/>
  <c r="G106" i="22" s="1"/>
  <c r="D49" i="22"/>
  <c r="F106" i="22" s="1"/>
  <c r="P48" i="22"/>
  <c r="F96" i="22" s="1"/>
  <c r="K48" i="22"/>
  <c r="G95" i="22" s="1"/>
  <c r="F95" i="22"/>
  <c r="E48" i="22"/>
  <c r="G94" i="22" s="1"/>
  <c r="D48" i="22"/>
  <c r="F94" i="22" s="1"/>
  <c r="Q47" i="22"/>
  <c r="G84" i="22" s="1"/>
  <c r="P47" i="22"/>
  <c r="F84" i="22" s="1"/>
  <c r="K47" i="22"/>
  <c r="G83" i="22" s="1"/>
  <c r="F83" i="22"/>
  <c r="E47" i="22"/>
  <c r="D47" i="22"/>
  <c r="Q46" i="22"/>
  <c r="G72" i="22" s="1"/>
  <c r="P46" i="22"/>
  <c r="F72" i="22" s="1"/>
  <c r="K46" i="22"/>
  <c r="G71" i="22" s="1"/>
  <c r="F71" i="22"/>
  <c r="E46" i="22"/>
  <c r="G70" i="22" s="1"/>
  <c r="D46" i="22"/>
  <c r="F70" i="22" s="1"/>
  <c r="A45" i="22"/>
  <c r="M45" i="22" s="1"/>
  <c r="Q37" i="22"/>
  <c r="G117" i="22" s="1"/>
  <c r="P37" i="22"/>
  <c r="F117" i="22" s="1"/>
  <c r="K37" i="22"/>
  <c r="G116" i="22" s="1"/>
  <c r="J37" i="22"/>
  <c r="F116" i="22" s="1"/>
  <c r="E37" i="22"/>
  <c r="G115" i="22" s="1"/>
  <c r="D37" i="22"/>
  <c r="F115" i="22" s="1"/>
  <c r="Q36" i="22"/>
  <c r="G105" i="22" s="1"/>
  <c r="P36" i="22"/>
  <c r="F105" i="22" s="1"/>
  <c r="K36" i="22"/>
  <c r="G104" i="22" s="1"/>
  <c r="J36" i="22"/>
  <c r="F104" i="22" s="1"/>
  <c r="E36" i="22"/>
  <c r="G103" i="22" s="1"/>
  <c r="D36" i="22"/>
  <c r="F103" i="22" s="1"/>
  <c r="Q35" i="22"/>
  <c r="G93" i="22" s="1"/>
  <c r="P35" i="22"/>
  <c r="F93" i="22" s="1"/>
  <c r="K35" i="22"/>
  <c r="G92" i="22" s="1"/>
  <c r="J35" i="22"/>
  <c r="F92" i="22" s="1"/>
  <c r="E35" i="22"/>
  <c r="G91" i="22" s="1"/>
  <c r="D35" i="22"/>
  <c r="F91" i="22" s="1"/>
  <c r="Q34" i="22"/>
  <c r="G81" i="22" s="1"/>
  <c r="P34" i="22"/>
  <c r="F81" i="22" s="1"/>
  <c r="K34" i="22"/>
  <c r="G80" i="22" s="1"/>
  <c r="J34" i="22"/>
  <c r="F80" i="22" s="1"/>
  <c r="E34" i="22"/>
  <c r="G79" i="22" s="1"/>
  <c r="D34" i="22"/>
  <c r="F79" i="22" s="1"/>
  <c r="Q33" i="22"/>
  <c r="G69" i="22" s="1"/>
  <c r="P33" i="22"/>
  <c r="F69" i="22" s="1"/>
  <c r="K33" i="22"/>
  <c r="G68" i="22" s="1"/>
  <c r="J33" i="22"/>
  <c r="F68" i="22" s="1"/>
  <c r="E33" i="22"/>
  <c r="G67" i="22" s="1"/>
  <c r="D33" i="22"/>
  <c r="F67" i="22" s="1"/>
  <c r="Q23" i="22"/>
  <c r="G114" i="22" s="1"/>
  <c r="P23" i="22"/>
  <c r="F114" i="22" s="1"/>
  <c r="K23" i="22"/>
  <c r="G113" i="22" s="1"/>
  <c r="E23" i="22"/>
  <c r="G112" i="22" s="1"/>
  <c r="D23" i="22"/>
  <c r="F112" i="22" s="1"/>
  <c r="Q22" i="22"/>
  <c r="G102" i="22" s="1"/>
  <c r="P22" i="22"/>
  <c r="F102" i="22" s="1"/>
  <c r="K22" i="22"/>
  <c r="G101" i="22" s="1"/>
  <c r="E22" i="22"/>
  <c r="G100" i="22" s="1"/>
  <c r="D22" i="22"/>
  <c r="F100" i="22" s="1"/>
  <c r="Q21" i="22"/>
  <c r="G90" i="22" s="1"/>
  <c r="P21" i="22"/>
  <c r="F90" i="22" s="1"/>
  <c r="K21" i="22"/>
  <c r="G89" i="22" s="1"/>
  <c r="E21" i="22"/>
  <c r="G88" i="22" s="1"/>
  <c r="D21" i="22"/>
  <c r="F88" i="22" s="1"/>
  <c r="Q20" i="22"/>
  <c r="G78" i="22" s="1"/>
  <c r="P20" i="22"/>
  <c r="F78" i="22" s="1"/>
  <c r="K20" i="22"/>
  <c r="G77" i="22" s="1"/>
  <c r="E20" i="22"/>
  <c r="G76" i="22" s="1"/>
  <c r="D20" i="22"/>
  <c r="F76" i="22" s="1"/>
  <c r="Q19" i="22"/>
  <c r="G66" i="22" s="1"/>
  <c r="P19" i="22"/>
  <c r="F66" i="22" s="1"/>
  <c r="K19" i="22"/>
  <c r="G65" i="22" s="1"/>
  <c r="E19" i="22"/>
  <c r="G64" i="22" s="1"/>
  <c r="D19" i="22"/>
  <c r="F64" i="22" s="1"/>
  <c r="A18" i="22"/>
  <c r="A17" i="22"/>
  <c r="E16" i="22"/>
  <c r="Q10" i="22"/>
  <c r="G111" i="22" s="1"/>
  <c r="P10" i="22"/>
  <c r="F111" i="22" s="1"/>
  <c r="K10" i="22"/>
  <c r="G110" i="22" s="1"/>
  <c r="J10" i="22"/>
  <c r="F110" i="22" s="1"/>
  <c r="E10" i="22"/>
  <c r="G109" i="22" s="1"/>
  <c r="D10" i="22"/>
  <c r="F109" i="22" s="1"/>
  <c r="Q9" i="22"/>
  <c r="G99" i="22" s="1"/>
  <c r="P9" i="22"/>
  <c r="F99" i="22" s="1"/>
  <c r="K9" i="22"/>
  <c r="G98" i="22" s="1"/>
  <c r="J9" i="22"/>
  <c r="F98" i="22" s="1"/>
  <c r="E9" i="22"/>
  <c r="G97" i="22" s="1"/>
  <c r="D9" i="22"/>
  <c r="F97" i="22" s="1"/>
  <c r="Q8" i="22"/>
  <c r="G87" i="22" s="1"/>
  <c r="P8" i="22"/>
  <c r="F87" i="22" s="1"/>
  <c r="K8" i="22"/>
  <c r="G86" i="22" s="1"/>
  <c r="J8" i="22"/>
  <c r="F86" i="22" s="1"/>
  <c r="E8" i="22"/>
  <c r="G85" i="22" s="1"/>
  <c r="D8" i="22"/>
  <c r="F85" i="22" s="1"/>
  <c r="Q7" i="22"/>
  <c r="G75" i="22" s="1"/>
  <c r="P7" i="22"/>
  <c r="F75" i="22" s="1"/>
  <c r="K7" i="22"/>
  <c r="G74" i="22" s="1"/>
  <c r="J7" i="22"/>
  <c r="F74" i="22" s="1"/>
  <c r="E7" i="22"/>
  <c r="D7" i="22"/>
  <c r="F73" i="22" s="1"/>
  <c r="Q6" i="22"/>
  <c r="G63" i="22" s="1"/>
  <c r="P6" i="22"/>
  <c r="F63" i="22" s="1"/>
  <c r="K6" i="22"/>
  <c r="G62" i="22" s="1"/>
  <c r="J6" i="22"/>
  <c r="F62" i="22" s="1"/>
  <c r="E6" i="22"/>
  <c r="G61" i="22" s="1"/>
  <c r="D6" i="22"/>
  <c r="F61" i="22" s="1"/>
  <c r="G5" i="22"/>
  <c r="M5" i="22" s="1"/>
  <c r="G4" i="22"/>
  <c r="M4" i="22" s="1"/>
  <c r="K3" i="22"/>
  <c r="Q3" i="22" s="1"/>
  <c r="J64" i="13"/>
  <c r="B54" i="13"/>
  <c r="B50" i="13"/>
  <c r="C34" i="13"/>
  <c r="I32" i="13"/>
  <c r="F32" i="13"/>
  <c r="D32" i="13"/>
  <c r="A11" i="13"/>
  <c r="A10" i="13"/>
  <c r="A9" i="13"/>
  <c r="A8" i="13"/>
  <c r="A7" i="13"/>
  <c r="A6" i="13"/>
  <c r="A5" i="13"/>
  <c r="A4" i="13"/>
  <c r="A1" i="13"/>
  <c r="H59" i="9"/>
  <c r="C59" i="9"/>
  <c r="B55" i="9"/>
  <c r="B55" i="13" s="1"/>
  <c r="B51" i="9"/>
  <c r="B50" i="9"/>
  <c r="B49" i="9"/>
  <c r="B48" i="9"/>
  <c r="B47" i="13" s="1"/>
  <c r="B42" i="9"/>
  <c r="D39" i="9"/>
  <c r="D38" i="13" s="1"/>
  <c r="D38" i="9"/>
  <c r="D37" i="13" s="1"/>
  <c r="D37" i="9"/>
  <c r="D36" i="13" s="1"/>
  <c r="D36" i="9"/>
  <c r="D35" i="13" s="1"/>
  <c r="D35" i="9"/>
  <c r="D34" i="13" s="1"/>
  <c r="B32" i="9"/>
  <c r="B31" i="13" s="1"/>
  <c r="C28" i="9"/>
  <c r="C27" i="13" s="1"/>
  <c r="C27" i="9"/>
  <c r="C26" i="13" s="1"/>
  <c r="L26" i="9"/>
  <c r="L25" i="13" s="1"/>
  <c r="S22" i="9"/>
  <c r="E22" i="9"/>
  <c r="N22" i="9" s="1"/>
  <c r="E21" i="9"/>
  <c r="E19" i="13" s="1"/>
  <c r="E13" i="9"/>
  <c r="E11" i="13" s="1"/>
  <c r="D13" i="9"/>
  <c r="A13" i="9"/>
  <c r="E12" i="9"/>
  <c r="E10" i="13" s="1"/>
  <c r="D12" i="9"/>
  <c r="A12" i="9"/>
  <c r="E11" i="9"/>
  <c r="E9" i="13" s="1"/>
  <c r="D11" i="9"/>
  <c r="A11" i="9"/>
  <c r="D10" i="9"/>
  <c r="A10" i="9"/>
  <c r="E9" i="9"/>
  <c r="E7" i="13" s="1"/>
  <c r="D9" i="9"/>
  <c r="A9" i="9"/>
  <c r="F8" i="9"/>
  <c r="E8" i="9"/>
  <c r="E7" i="9"/>
  <c r="D7" i="9"/>
  <c r="A7" i="9"/>
  <c r="E6" i="9"/>
  <c r="E6" i="13" s="1"/>
  <c r="D6" i="9"/>
  <c r="A6" i="9"/>
  <c r="E5" i="9"/>
  <c r="E5" i="13" s="1"/>
  <c r="D5" i="9"/>
  <c r="A5" i="9"/>
  <c r="E4" i="9"/>
  <c r="E4" i="13" s="1"/>
  <c r="D4" i="9"/>
  <c r="A4" i="9"/>
  <c r="F55" i="12"/>
  <c r="F54" i="12"/>
  <c r="F53" i="12"/>
  <c r="E53" i="12"/>
  <c r="F42" i="12"/>
  <c r="F41" i="12"/>
  <c r="F40" i="12"/>
  <c r="E40" i="12"/>
  <c r="H40" i="12" s="1"/>
  <c r="J40" i="12" s="1"/>
  <c r="F30" i="12"/>
  <c r="F29" i="12"/>
  <c r="F28" i="12"/>
  <c r="E28" i="12"/>
  <c r="F18" i="12"/>
  <c r="F17" i="12"/>
  <c r="F16" i="12"/>
  <c r="E16" i="12"/>
  <c r="F6" i="12"/>
  <c r="F5" i="12"/>
  <c r="E41" i="12"/>
  <c r="F4" i="12"/>
  <c r="K37" i="7"/>
  <c r="L37" i="7" s="1"/>
  <c r="B34" i="7"/>
  <c r="K30" i="7"/>
  <c r="L29" i="9" s="1"/>
  <c r="L28" i="13" s="1"/>
  <c r="C30" i="7"/>
  <c r="C29" i="9" s="1"/>
  <c r="C28" i="13" s="1"/>
  <c r="K29" i="7"/>
  <c r="L28" i="9" s="1"/>
  <c r="L27" i="13" s="1"/>
  <c r="K28" i="7"/>
  <c r="L27" i="9" s="1"/>
  <c r="C27" i="7"/>
  <c r="C26" i="9" s="1"/>
  <c r="C25" i="13" s="1"/>
  <c r="B18" i="7"/>
  <c r="B18" i="9" s="1"/>
  <c r="B16" i="13" s="1"/>
  <c r="B17" i="7"/>
  <c r="B17" i="9" s="1"/>
  <c r="B15" i="13" s="1"/>
  <c r="B16" i="7"/>
  <c r="B16" i="9" s="1"/>
  <c r="B14" i="13" s="1"/>
  <c r="E10" i="9"/>
  <c r="E8" i="13" s="1"/>
  <c r="F7" i="9"/>
  <c r="H16" i="12" l="1"/>
  <c r="J16" i="12" s="1"/>
  <c r="K16" i="12" s="1"/>
  <c r="H53" i="12"/>
  <c r="J53" i="12" s="1"/>
  <c r="K53" i="12" s="1"/>
  <c r="H4" i="12"/>
  <c r="J4" i="12" s="1"/>
  <c r="F143" i="22"/>
  <c r="F39" i="9"/>
  <c r="F38" i="13" s="1"/>
  <c r="K38" i="7"/>
  <c r="L38" i="7" s="1"/>
  <c r="L39" i="7"/>
  <c r="F36" i="9"/>
  <c r="F35" i="13" s="1"/>
  <c r="A143" i="22"/>
  <c r="F37" i="9"/>
  <c r="F36" i="13" s="1"/>
  <c r="E30" i="22"/>
  <c r="K16" i="22"/>
  <c r="Q16" i="22" s="1"/>
  <c r="A31" i="22"/>
  <c r="M31" i="22" s="1"/>
  <c r="G44" i="22" s="1"/>
  <c r="G17" i="22"/>
  <c r="M17" i="22" s="1"/>
  <c r="A32" i="22"/>
  <c r="M32" i="22" s="1"/>
  <c r="G18" i="22"/>
  <c r="M18" i="22" s="1"/>
  <c r="G31" i="22" s="1"/>
  <c r="A44" i="22" s="1"/>
  <c r="M44" i="22" s="1"/>
  <c r="F294" i="35"/>
  <c r="D293" i="35"/>
  <c r="B292" i="35"/>
  <c r="B288" i="35"/>
  <c r="F286" i="35"/>
  <c r="D285" i="35"/>
  <c r="F282" i="35"/>
  <c r="D281" i="35"/>
  <c r="B280" i="35"/>
  <c r="F278" i="35"/>
  <c r="D277" i="35"/>
  <c r="E273" i="35"/>
  <c r="A271" i="35"/>
  <c r="B270" i="35"/>
  <c r="E269" i="35"/>
  <c r="E294" i="35"/>
  <c r="C293" i="35"/>
  <c r="A292" i="35"/>
  <c r="A288" i="35"/>
  <c r="E286" i="35"/>
  <c r="C285" i="35"/>
  <c r="E282" i="35"/>
  <c r="C281" i="35"/>
  <c r="A280" i="35"/>
  <c r="E278" i="35"/>
  <c r="C277" i="35"/>
  <c r="F274" i="35"/>
  <c r="D273" i="35"/>
  <c r="A270" i="35"/>
  <c r="D269" i="35"/>
  <c r="D294" i="35"/>
  <c r="B293" i="35"/>
  <c r="F291" i="35"/>
  <c r="F287" i="35"/>
  <c r="D286" i="35"/>
  <c r="B285" i="35"/>
  <c r="D282" i="35"/>
  <c r="B281" i="35"/>
  <c r="F279" i="35"/>
  <c r="D278" i="35"/>
  <c r="B277" i="35"/>
  <c r="E274" i="35"/>
  <c r="C273" i="35"/>
  <c r="F272" i="35"/>
  <c r="C269" i="35"/>
  <c r="C294" i="35"/>
  <c r="A293" i="35"/>
  <c r="E291" i="35"/>
  <c r="E287" i="35"/>
  <c r="C286" i="35"/>
  <c r="A285" i="35"/>
  <c r="C282" i="35"/>
  <c r="A281" i="35"/>
  <c r="E279" i="35"/>
  <c r="C278" i="35"/>
  <c r="A277" i="35"/>
  <c r="D274" i="35"/>
  <c r="B273" i="35"/>
  <c r="E272" i="35"/>
  <c r="F271" i="35"/>
  <c r="B269" i="35"/>
  <c r="B294" i="35"/>
  <c r="F292" i="35"/>
  <c r="D291" i="35"/>
  <c r="F288" i="35"/>
  <c r="D287" i="35"/>
  <c r="B286" i="35"/>
  <c r="B282" i="35"/>
  <c r="F280" i="35"/>
  <c r="D279" i="35"/>
  <c r="B278" i="35"/>
  <c r="C274" i="35"/>
  <c r="A273" i="35"/>
  <c r="D272" i="35"/>
  <c r="E271" i="35"/>
  <c r="F270" i="35"/>
  <c r="A269" i="35"/>
  <c r="A294" i="35"/>
  <c r="E292" i="35"/>
  <c r="C291" i="35"/>
  <c r="E288" i="35"/>
  <c r="C287" i="35"/>
  <c r="A286" i="35"/>
  <c r="A282" i="35"/>
  <c r="E280" i="35"/>
  <c r="C279" i="35"/>
  <c r="A278" i="35"/>
  <c r="B274" i="35"/>
  <c r="C272" i="35"/>
  <c r="D271" i="35"/>
  <c r="E270" i="35"/>
  <c r="E293" i="35"/>
  <c r="C292" i="35"/>
  <c r="C288" i="35"/>
  <c r="F293" i="35"/>
  <c r="D292" i="35"/>
  <c r="B291" i="35"/>
  <c r="D288" i="35"/>
  <c r="B287" i="35"/>
  <c r="F285" i="35"/>
  <c r="F281" i="35"/>
  <c r="D280" i="35"/>
  <c r="B279" i="35"/>
  <c r="F277" i="35"/>
  <c r="A274" i="35"/>
  <c r="B272" i="35"/>
  <c r="C271" i="35"/>
  <c r="D270" i="35"/>
  <c r="E285" i="35"/>
  <c r="A272" i="35"/>
  <c r="E281" i="35"/>
  <c r="C280" i="35"/>
  <c r="B271" i="35"/>
  <c r="A279" i="35"/>
  <c r="A291" i="35"/>
  <c r="E277" i="35"/>
  <c r="C270" i="35"/>
  <c r="A287" i="35"/>
  <c r="F273" i="35"/>
  <c r="F269" i="35"/>
  <c r="N390" i="34"/>
  <c r="E14" i="13" s="1"/>
  <c r="G16" i="7"/>
  <c r="O390" i="34"/>
  <c r="G14" i="13" s="1"/>
  <c r="H16" i="7"/>
  <c r="T386" i="34"/>
  <c r="U378" i="34" s="1"/>
  <c r="Q380" i="34"/>
  <c r="M378" i="34"/>
  <c r="P377" i="34"/>
  <c r="O376" i="34"/>
  <c r="Q382" i="34"/>
  <c r="Q381" i="34"/>
  <c r="P380" i="34"/>
  <c r="Q379" i="34"/>
  <c r="O377" i="34"/>
  <c r="N376" i="34"/>
  <c r="P382" i="34"/>
  <c r="P381" i="34"/>
  <c r="O380" i="34"/>
  <c r="P379" i="34"/>
  <c r="N377" i="34"/>
  <c r="M376" i="34"/>
  <c r="O382" i="34"/>
  <c r="O381" i="34"/>
  <c r="N380" i="34"/>
  <c r="O379" i="34"/>
  <c r="M377" i="34"/>
  <c r="N382" i="34"/>
  <c r="N381" i="34"/>
  <c r="M380" i="34"/>
  <c r="N379" i="34"/>
  <c r="Q378" i="34"/>
  <c r="M382" i="34"/>
  <c r="M381" i="34"/>
  <c r="M379" i="34"/>
  <c r="P378" i="34"/>
  <c r="O378" i="34"/>
  <c r="Q376" i="34"/>
  <c r="P376" i="34"/>
  <c r="N378" i="34"/>
  <c r="Q377" i="34"/>
  <c r="F38" i="9"/>
  <c r="F37" i="13" s="1"/>
  <c r="K40" i="7"/>
  <c r="L40" i="7" s="1"/>
  <c r="A151" i="22"/>
  <c r="B123" i="22"/>
  <c r="C125" i="22" s="1"/>
  <c r="B43" i="9"/>
  <c r="E20" i="13"/>
  <c r="P162" i="22"/>
  <c r="P175" i="22" s="1"/>
  <c r="B46" i="7" s="1"/>
  <c r="B44" i="9" s="1"/>
  <c r="B43" i="13" s="1"/>
  <c r="A123" i="22"/>
  <c r="L175" i="22"/>
  <c r="N21" i="9"/>
  <c r="O21" i="9" s="1"/>
  <c r="F139" i="22"/>
  <c r="F147" i="22"/>
  <c r="H28" i="12"/>
  <c r="J28" i="12" s="1"/>
  <c r="K28" i="12" s="1"/>
  <c r="H41" i="12"/>
  <c r="J41" i="12" s="1"/>
  <c r="K41" i="12" s="1"/>
  <c r="K4" i="12"/>
  <c r="L4" i="12"/>
  <c r="L40" i="12"/>
  <c r="K40" i="12"/>
  <c r="E29" i="12"/>
  <c r="H29" i="12" s="1"/>
  <c r="J29" i="12" s="1"/>
  <c r="E54" i="12"/>
  <c r="H54" i="12" s="1"/>
  <c r="J54" i="12" s="1"/>
  <c r="H5" i="12"/>
  <c r="J5" i="12" s="1"/>
  <c r="E17" i="12"/>
  <c r="H17" i="12" s="1"/>
  <c r="J17" i="12" s="1"/>
  <c r="F127" i="22" l="1"/>
  <c r="F126" i="22"/>
  <c r="C126" i="22"/>
  <c r="D126" i="22" s="1"/>
  <c r="B127" i="22"/>
  <c r="B128" i="22"/>
  <c r="B129" i="22"/>
  <c r="B130" i="22"/>
  <c r="E130" i="22" s="1"/>
  <c r="B126" i="22"/>
  <c r="H266" i="35"/>
  <c r="N268" i="35" s="1"/>
  <c r="I269" i="35" s="1"/>
  <c r="I272" i="35" s="1"/>
  <c r="L53" i="12"/>
  <c r="L16" i="12"/>
  <c r="O269" i="35"/>
  <c r="K26" i="9" s="1"/>
  <c r="O26" i="9" s="1"/>
  <c r="Q30" i="22"/>
  <c r="K43" i="22" s="1"/>
  <c r="K30" i="22"/>
  <c r="E43" i="22" s="1"/>
  <c r="Q43" i="22" s="1"/>
  <c r="O271" i="35"/>
  <c r="K28" i="9" s="1"/>
  <c r="O272" i="35"/>
  <c r="K29" i="9" s="1"/>
  <c r="O29" i="9" s="1"/>
  <c r="O270" i="35"/>
  <c r="K27" i="9" s="1"/>
  <c r="H269" i="35"/>
  <c r="N273" i="35" s="1"/>
  <c r="N391" i="34"/>
  <c r="E15" i="13" s="1"/>
  <c r="G17" i="7"/>
  <c r="T381" i="34"/>
  <c r="E16" i="9" s="1"/>
  <c r="T383" i="34"/>
  <c r="B125" i="22"/>
  <c r="L41" i="12"/>
  <c r="F128" i="22"/>
  <c r="A130" i="22"/>
  <c r="C127" i="22"/>
  <c r="D127" i="22" s="1"/>
  <c r="A126" i="22"/>
  <c r="C130" i="22"/>
  <c r="F129" i="22"/>
  <c r="C128" i="22"/>
  <c r="A127" i="22"/>
  <c r="F130" i="22"/>
  <c r="C129" i="22"/>
  <c r="A128" i="22"/>
  <c r="A129" i="22"/>
  <c r="L28" i="12"/>
  <c r="L17" i="12"/>
  <c r="K17" i="12"/>
  <c r="L5" i="12"/>
  <c r="K5" i="12"/>
  <c r="L54" i="12"/>
  <c r="K54" i="12"/>
  <c r="L29" i="12"/>
  <c r="K29" i="12"/>
  <c r="E129" i="22" l="1"/>
  <c r="I152" i="22" s="1"/>
  <c r="E126" i="22"/>
  <c r="E128" i="22"/>
  <c r="I150" i="22" s="1"/>
  <c r="E127" i="22"/>
  <c r="I140" i="22" s="1"/>
  <c r="C160" i="22"/>
  <c r="D140" i="22"/>
  <c r="D138" i="22"/>
  <c r="D144" i="22"/>
  <c r="D142" i="22"/>
  <c r="G18" i="7"/>
  <c r="J269" i="35"/>
  <c r="H18" i="7" s="1"/>
  <c r="J25" i="13"/>
  <c r="J28" i="13"/>
  <c r="T382" i="34"/>
  <c r="E17" i="9" s="1"/>
  <c r="O273" i="35"/>
  <c r="T22" i="9" s="1"/>
  <c r="O268" i="35"/>
  <c r="H272" i="35" s="1"/>
  <c r="B48" i="13" s="1"/>
  <c r="D129" i="22"/>
  <c r="G146" i="22"/>
  <c r="G140" i="22"/>
  <c r="G148" i="22"/>
  <c r="B146" i="22"/>
  <c r="B138" i="22"/>
  <c r="B140" i="22"/>
  <c r="B148" i="22"/>
  <c r="D152" i="22"/>
  <c r="B142" i="22"/>
  <c r="G152" i="22"/>
  <c r="D146" i="22"/>
  <c r="B144" i="22"/>
  <c r="D148" i="22"/>
  <c r="B150" i="22"/>
  <c r="D150" i="22"/>
  <c r="G150" i="22"/>
  <c r="B152" i="22"/>
  <c r="G142" i="22"/>
  <c r="G144" i="22"/>
  <c r="D128" i="22"/>
  <c r="D130" i="22"/>
  <c r="G138" i="22"/>
  <c r="C147" i="22" l="1"/>
  <c r="C158" i="22" s="1"/>
  <c r="D158" i="22" s="1"/>
  <c r="J158" i="22" s="1"/>
  <c r="H274" i="35"/>
  <c r="I144" i="22"/>
  <c r="I146" i="22"/>
  <c r="I148" i="22"/>
  <c r="C143" i="22"/>
  <c r="C157" i="22" s="1"/>
  <c r="D157" i="22" s="1"/>
  <c r="J157" i="22" s="1"/>
  <c r="C151" i="22"/>
  <c r="C159" i="22" s="1"/>
  <c r="D159" i="22" s="1"/>
  <c r="J159" i="22" s="1"/>
  <c r="H151" i="22"/>
  <c r="C139" i="22"/>
  <c r="C156" i="22" s="1"/>
  <c r="D156" i="22" s="1"/>
  <c r="H156" i="22" s="1"/>
  <c r="J156" i="22" l="1"/>
  <c r="E7" i="12"/>
  <c r="H7" i="12" s="1"/>
  <c r="J7" i="12" s="1"/>
  <c r="F158" i="22"/>
  <c r="H37" i="9" s="1"/>
  <c r="H158" i="22"/>
  <c r="E31" i="12" s="1"/>
  <c r="H31" i="12" s="1"/>
  <c r="J31" i="12" s="1"/>
  <c r="F159" i="22"/>
  <c r="G159" i="22" s="1"/>
  <c r="H159" i="22"/>
  <c r="E43" i="12" s="1"/>
  <c r="H43" i="12" s="1"/>
  <c r="J43" i="12" s="1"/>
  <c r="F157" i="22"/>
  <c r="H157" i="22"/>
  <c r="E19" i="12" s="1"/>
  <c r="H19" i="12" s="1"/>
  <c r="J19" i="12" s="1"/>
  <c r="E18" i="9"/>
  <c r="H147" i="22"/>
  <c r="J26" i="13"/>
  <c r="O27" i="9"/>
  <c r="Q20" i="9"/>
  <c r="W16" i="9" s="1"/>
  <c r="J27" i="13"/>
  <c r="H38" i="9" l="1"/>
  <c r="H37" i="13" s="1"/>
  <c r="L7" i="12"/>
  <c r="K7" i="12"/>
  <c r="K19" i="12"/>
  <c r="L19" i="12"/>
  <c r="L43" i="12"/>
  <c r="K43" i="12"/>
  <c r="G158" i="22"/>
  <c r="M39" i="7" s="1"/>
  <c r="K31" i="12"/>
  <c r="L31" i="12"/>
  <c r="M40" i="7"/>
  <c r="I38" i="9"/>
  <c r="I37" i="13" s="1"/>
  <c r="H36" i="9"/>
  <c r="H35" i="13" s="1"/>
  <c r="G157" i="22"/>
  <c r="Q28" i="9"/>
  <c r="O28" i="9" s="1"/>
  <c r="O30" i="9" s="1"/>
  <c r="R28" i="9"/>
  <c r="B47" i="7"/>
  <c r="B45" i="9" s="1"/>
  <c r="B44" i="13" s="1"/>
  <c r="I37" i="9" l="1"/>
  <c r="I36" i="13" s="1"/>
  <c r="M38" i="7"/>
  <c r="I36" i="9"/>
  <c r="I35" i="13" s="1"/>
  <c r="N26" i="9" l="1"/>
  <c r="F156" i="22"/>
  <c r="D160" i="22"/>
  <c r="J160" i="22" s="1"/>
  <c r="E55" i="12" s="1"/>
  <c r="E42" i="12" l="1"/>
  <c r="H42" i="12" s="1"/>
  <c r="J42" i="12" s="1"/>
  <c r="E18" i="12"/>
  <c r="H18" i="12" s="1"/>
  <c r="J18" i="12" s="1"/>
  <c r="E6" i="12"/>
  <c r="H6" i="12" s="1"/>
  <c r="J6" i="12" s="1"/>
  <c r="L6" i="12" s="1"/>
  <c r="L8" i="12" s="1"/>
  <c r="E30" i="12"/>
  <c r="H30" i="12" s="1"/>
  <c r="J30" i="12" s="1"/>
  <c r="H55" i="12"/>
  <c r="J55" i="12" s="1"/>
  <c r="L55" i="12" s="1"/>
  <c r="F160" i="22"/>
  <c r="G160" i="22" s="1"/>
  <c r="H160" i="22"/>
  <c r="E56" i="12" s="1"/>
  <c r="H56" i="12" s="1"/>
  <c r="J56" i="12" s="1"/>
  <c r="I138" i="22"/>
  <c r="H139" i="22" s="1"/>
  <c r="I142" i="22"/>
  <c r="H143" i="22" s="1"/>
  <c r="G156" i="22"/>
  <c r="H35" i="9"/>
  <c r="H39" i="9" l="1"/>
  <c r="H38" i="13" s="1"/>
  <c r="L56" i="12"/>
  <c r="L57" i="12" s="1"/>
  <c r="K56" i="12"/>
  <c r="K30" i="12"/>
  <c r="K32" i="12" s="1"/>
  <c r="K33" i="12" s="1"/>
  <c r="L30" i="12"/>
  <c r="L32" i="12" s="1"/>
  <c r="K18" i="12"/>
  <c r="K20" i="12" s="1"/>
  <c r="K21" i="12" s="1"/>
  <c r="L18" i="12"/>
  <c r="L20" i="12" s="1"/>
  <c r="K42" i="12"/>
  <c r="K44" i="12" s="1"/>
  <c r="K45" i="12" s="1"/>
  <c r="L42" i="12"/>
  <c r="L44" i="12" s="1"/>
  <c r="K6" i="12"/>
  <c r="K8" i="12" s="1"/>
  <c r="K9" i="12" s="1"/>
  <c r="K10" i="12" s="1"/>
  <c r="K11" i="12" s="1"/>
  <c r="K12" i="12" s="1"/>
  <c r="K13" i="12" s="1"/>
  <c r="O37" i="7" s="1"/>
  <c r="K35" i="9" s="1"/>
  <c r="K55" i="12"/>
  <c r="K57" i="12" s="1"/>
  <c r="K58" i="12" s="1"/>
  <c r="H34" i="13"/>
  <c r="M37" i="7"/>
  <c r="I35" i="9"/>
  <c r="M41" i="7"/>
  <c r="I39" i="9"/>
  <c r="K59" i="12" l="1"/>
  <c r="K60" i="12" s="1"/>
  <c r="K61" i="12" s="1"/>
  <c r="K62" i="12" s="1"/>
  <c r="K46" i="12"/>
  <c r="K47" i="12" s="1"/>
  <c r="K48" i="12" s="1"/>
  <c r="K49" i="12" s="1"/>
  <c r="O40" i="7" s="1"/>
  <c r="K38" i="9" s="1"/>
  <c r="K22" i="12"/>
  <c r="K23" i="12" s="1"/>
  <c r="K24" i="12" s="1"/>
  <c r="K25" i="12" s="1"/>
  <c r="O38" i="7" s="1"/>
  <c r="K36" i="9" s="1"/>
  <c r="K34" i="12"/>
  <c r="K35" i="12" s="1"/>
  <c r="K36" i="12" s="1"/>
  <c r="K37" i="12" s="1"/>
  <c r="O39" i="7" s="1"/>
  <c r="K37" i="9" s="1"/>
  <c r="I38" i="13"/>
  <c r="M35" i="9"/>
  <c r="O35" i="9" s="1"/>
  <c r="I34" i="13"/>
  <c r="O41" i="7" l="1"/>
  <c r="K39" i="9" s="1"/>
  <c r="M37" i="9"/>
  <c r="O37" i="9" s="1"/>
  <c r="M36" i="9"/>
  <c r="O36" i="9" s="1"/>
  <c r="M38" i="9"/>
  <c r="O38" i="9" s="1"/>
  <c r="M39" i="9" l="1"/>
  <c r="O39" i="9" s="1"/>
  <c r="O40" i="9" s="1"/>
  <c r="O41" i="9" s="1"/>
  <c r="O33" i="9" s="1"/>
  <c r="J59" i="9" s="1"/>
  <c r="N35" i="9" l="1"/>
  <c r="H1" i="36"/>
  <c r="E2" i="7"/>
  <c r="A2" i="9" l="1"/>
  <c r="A2" i="13" s="1"/>
  <c r="B68" i="9"/>
  <c r="B71" i="9" s="1"/>
  <c r="B73" i="9" s="1"/>
  <c r="B76" i="9" s="1"/>
  <c r="B55" i="7" s="1"/>
  <c r="B51" i="13" l="1"/>
  <c r="B52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PC-PK</author>
  </authors>
  <commentList>
    <comment ref="D22" authorId="0" shapeId="0" xr:uid="{DD147B72-BDAC-4820-92F0-5BBA42ED157D}">
      <text>
        <r>
          <rPr>
            <b/>
            <sz val="9"/>
            <color indexed="81"/>
            <rFont val="Tahoma"/>
            <family val="2"/>
          </rPr>
          <t>PC-PK:</t>
        </r>
        <r>
          <rPr>
            <sz val="9"/>
            <color indexed="81"/>
            <rFont val="Tahoma"/>
            <family val="2"/>
          </rPr>
          <t xml:space="preserve">
CONTOH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IRFAN</author>
    <author>DANNY</author>
  </authors>
  <commentList>
    <comment ref="E37" authorId="0" shapeId="0" xr:uid="{E6D73AEC-A0CE-4381-9056-169EFD4BD798}">
      <text>
        <r>
          <rPr>
            <b/>
            <sz val="9"/>
            <color indexed="81"/>
            <rFont val="Tahoma"/>
            <family val="2"/>
          </rPr>
          <t>IRFAN: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i/>
            <sz val="16"/>
            <color indexed="81"/>
            <rFont val="Tahoma"/>
            <family val="2"/>
          </rPr>
          <t>Hasil Input disini !!!</t>
        </r>
      </text>
    </comment>
    <comment ref="F37" authorId="0" shapeId="0" xr:uid="{08571432-EE0E-4097-BC97-68074C4EA90E}">
      <text>
        <r>
          <rPr>
            <b/>
            <sz val="9"/>
            <color indexed="81"/>
            <rFont val="Tahoma"/>
            <family val="2"/>
          </rPr>
          <t>IRFAN: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i/>
            <sz val="16"/>
            <color indexed="81"/>
            <rFont val="Tahoma"/>
            <family val="2"/>
          </rPr>
          <t>Hasil Input disini !!!</t>
        </r>
      </text>
    </comment>
    <comment ref="G37" authorId="0" shapeId="0" xr:uid="{A90860EA-2207-4D44-9F00-C00DF79B0ECF}">
      <text>
        <r>
          <rPr>
            <b/>
            <sz val="9"/>
            <color indexed="81"/>
            <rFont val="Tahoma"/>
            <family val="2"/>
          </rPr>
          <t>IRFAN: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i/>
            <sz val="16"/>
            <color indexed="81"/>
            <rFont val="Tahoma"/>
            <family val="2"/>
          </rPr>
          <t>Hasil Input disini !!!</t>
        </r>
      </text>
    </comment>
    <comment ref="H37" authorId="0" shapeId="0" xr:uid="{9D02F20C-B41D-4828-9F2F-C002FD42674C}">
      <text>
        <r>
          <rPr>
            <b/>
            <sz val="9"/>
            <color indexed="81"/>
            <rFont val="Tahoma"/>
            <family val="2"/>
          </rPr>
          <t>IRFAN: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i/>
            <sz val="16"/>
            <color indexed="81"/>
            <rFont val="Tahoma"/>
            <family val="2"/>
          </rPr>
          <t>Hasil Input disini !!!</t>
        </r>
      </text>
    </comment>
    <comment ref="I37" authorId="0" shapeId="0" xr:uid="{1549AD0D-E7EC-44A9-A8EA-9DF0E035C3E2}">
      <text>
        <r>
          <rPr>
            <b/>
            <sz val="9"/>
            <color indexed="81"/>
            <rFont val="Tahoma"/>
            <family val="2"/>
          </rPr>
          <t>IRFAN: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i/>
            <sz val="16"/>
            <color indexed="81"/>
            <rFont val="Tahoma"/>
            <family val="2"/>
          </rPr>
          <t>Hasil Input disini !!!</t>
        </r>
      </text>
    </comment>
    <comment ref="J37" authorId="0" shapeId="0" xr:uid="{8F6228D8-3E36-4131-850E-AB01C016FB93}">
      <text>
        <r>
          <rPr>
            <b/>
            <sz val="9"/>
            <color indexed="81"/>
            <rFont val="Tahoma"/>
            <family val="2"/>
          </rPr>
          <t>IRFAN: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i/>
            <sz val="16"/>
            <color indexed="81"/>
            <rFont val="Tahoma"/>
            <family val="2"/>
          </rPr>
          <t>Hasil Input disini !!!</t>
        </r>
      </text>
    </comment>
    <comment ref="A59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DANNY: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8"/>
            <color indexed="81"/>
            <rFont val="Tahoma"/>
            <family val="2"/>
          </rPr>
          <t>INPUT DISINI!!!!!!!!!!!!!!!</t>
        </r>
      </text>
    </comment>
  </commentList>
</comments>
</file>

<file path=xl/sharedStrings.xml><?xml version="1.0" encoding="utf-8"?>
<sst xmlns="http://schemas.openxmlformats.org/spreadsheetml/2006/main" count="1933" uniqueCount="418">
  <si>
    <t>No.</t>
  </si>
  <si>
    <t>Tanggal</t>
  </si>
  <si>
    <t>Revisi</t>
  </si>
  <si>
    <t>Oleh</t>
  </si>
  <si>
    <t>Awal</t>
  </si>
  <si>
    <t>Akhir</t>
  </si>
  <si>
    <t>Merek</t>
  </si>
  <si>
    <t>:</t>
  </si>
  <si>
    <t>Model/Tipe</t>
  </si>
  <si>
    <t>Nomor Seri</t>
  </si>
  <si>
    <t>Resolusi</t>
  </si>
  <si>
    <t>BPM</t>
  </si>
  <si>
    <t>Tanggal Penerimaan Alat</t>
  </si>
  <si>
    <t>Tanggal Kalibrasi</t>
  </si>
  <si>
    <t>Tempat Kalibrasi</t>
  </si>
  <si>
    <t>Nama Ruang</t>
  </si>
  <si>
    <t>Metode Kerja</t>
  </si>
  <si>
    <t>: WF MK - 05</t>
  </si>
  <si>
    <t xml:space="preserve">I.     </t>
  </si>
  <si>
    <t>Kondisi Ruang</t>
  </si>
  <si>
    <t>Score</t>
  </si>
  <si>
    <t xml:space="preserve">1. Suhu </t>
  </si>
  <si>
    <r>
      <t>o</t>
    </r>
    <r>
      <rPr>
        <sz val="11"/>
        <rFont val="Arial"/>
        <family val="2"/>
      </rPr>
      <t>C</t>
    </r>
  </si>
  <si>
    <t>2. Kelembaban</t>
  </si>
  <si>
    <t>% RH</t>
  </si>
  <si>
    <t>3. Tegangan Jala-jala</t>
  </si>
  <si>
    <t>Volt</t>
  </si>
  <si>
    <t xml:space="preserve">II.     </t>
  </si>
  <si>
    <t>Pemeriksaan Kondisi Fisik dan Fungsi Alat.</t>
  </si>
  <si>
    <t>1. Fisik</t>
  </si>
  <si>
    <t>: Baik / Tidak Baik</t>
  </si>
  <si>
    <t>2. Fungsi</t>
  </si>
  <si>
    <t>III.</t>
  </si>
  <si>
    <t xml:space="preserve">Pengujian Keselamatan Listrik </t>
  </si>
  <si>
    <t>Parameter</t>
  </si>
  <si>
    <t>Hasil Ukur</t>
  </si>
  <si>
    <t xml:space="preserve"> Ambang Batas </t>
  </si>
  <si>
    <t>Yang Diijinkan</t>
  </si>
  <si>
    <t xml:space="preserve">Resistansi isolasi </t>
  </si>
  <si>
    <t>MΩ</t>
  </si>
  <si>
    <t>Resistansi pembumian protektif (kabel dapat / tidak dapat dilepas)</t>
  </si>
  <si>
    <t>Ω</t>
  </si>
  <si>
    <t>≤ 0.2 / 0.3</t>
  </si>
  <si>
    <t>Arus bocor peralatan untuk peralatan elektromedik kelas I / II</t>
  </si>
  <si>
    <t>µA</t>
  </si>
  <si>
    <r>
      <rPr>
        <sz val="11"/>
        <rFont val="Calibri"/>
        <family val="2"/>
      </rPr>
      <t>≤</t>
    </r>
    <r>
      <rPr>
        <sz val="11"/>
        <rFont val="Arial"/>
        <family val="2"/>
      </rPr>
      <t xml:space="preserve"> 500 / 100</t>
    </r>
  </si>
  <si>
    <t>Arus bocor peralatan yang diaplikasikan</t>
  </si>
  <si>
    <t>IV.</t>
  </si>
  <si>
    <t>Pengujian Kinerja</t>
  </si>
  <si>
    <t>Toleransi</t>
  </si>
  <si>
    <t>I</t>
  </si>
  <si>
    <t>II</t>
  </si>
  <si>
    <t>III</t>
  </si>
  <si>
    <t>IV</t>
  </si>
  <si>
    <t>V</t>
  </si>
  <si>
    <t>VI</t>
  </si>
  <si>
    <t>No</t>
  </si>
  <si>
    <t>Setting                            Pada Standar</t>
  </si>
  <si>
    <t xml:space="preserve"> Pembacaan pada Alat ( BPM )</t>
  </si>
  <si>
    <t xml:space="preserve">Toleransi </t>
  </si>
  <si>
    <t xml:space="preserve">Frekuensi              Heart Rate                      (BPM) </t>
  </si>
  <si>
    <r>
      <t>+</t>
    </r>
    <r>
      <rPr>
        <sz val="11"/>
        <rFont val="Arial"/>
        <family val="2"/>
      </rPr>
      <t xml:space="preserve"> 5%</t>
    </r>
  </si>
  <si>
    <t>V.</t>
  </si>
  <si>
    <t>Keterangan</t>
  </si>
  <si>
    <t>VI.</t>
  </si>
  <si>
    <t>Alat Ukur Yang Digunakan</t>
  </si>
  <si>
    <t>Multiparameter Simulator_Merek : RIGEL_Model : PatSim200_SN : 15L-0684 / 11L-0293</t>
  </si>
  <si>
    <t>Multiparameter Simulator_Merek : Fluke_(Model : PS410_SN : 2631276)_(Model : PS420_SN : 1826055 / 1827060)</t>
  </si>
  <si>
    <t>Multiparameter Simulator_Merek : Fluke_Model : MPS450_SN : 184633 / 184635</t>
  </si>
  <si>
    <t>Vital Sign Simulator_Merek : Fluke_Model : Prosim 8_SN : 3217028 / 3188428</t>
  </si>
  <si>
    <t>Defib Analyzer with ECG Simulator_Merek : Fluke_(Model : Impulse 6000D_SN : 3100070)_(Model : Impulse 7000DP, SN : 1837053 / 3732537 )</t>
  </si>
  <si>
    <t>Electrical Safety Analyzer_Merek : Fluke_Model : ESA 620_SN : 1834020 / 1837056</t>
  </si>
  <si>
    <t>Electrical Safety Analyzer_Merek : Fluke_Model : ESA 615_SN : 2853077 / 2853078 / 3148907 / 3148908 / 3699030 / 4669058 / 4670010</t>
  </si>
  <si>
    <t>Thermohygrometer_Merek : KIMO_Model : KH-210-AO_SN : 14082463 / 15062872 / 15062873 / 15062874 / 15062875</t>
  </si>
  <si>
    <t>Thermohygrometer_Merek : SEKONIC_Model : ST-50A_SN : HE 21-000669 / HE 21-000670</t>
  </si>
  <si>
    <t>Thermohygrometer_Merek : Greisinger_Model : GFTB 200_SN : 34903046 / 34903051 / 34903053 / 34904091</t>
  </si>
  <si>
    <t>Thermohygrometer_Merek : EXTECH_Model : SD700_SN : 100586 / 100605 / 100609 / 100611 / 100615 / 100616 / 100617 / 100618</t>
  </si>
  <si>
    <t>VII.</t>
  </si>
  <si>
    <t>Kesimpulan</t>
  </si>
  <si>
    <r>
      <t xml:space="preserve">Alat yang dikalibrasi   </t>
    </r>
    <r>
      <rPr>
        <b/>
        <sz val="11"/>
        <rFont val="Arial"/>
        <family val="2"/>
      </rPr>
      <t>dalam  batas</t>
    </r>
    <r>
      <rPr>
        <sz val="11"/>
        <rFont val="Arial"/>
        <family val="2"/>
      </rPr>
      <t xml:space="preserve"> / </t>
    </r>
    <r>
      <rPr>
        <b/>
        <sz val="11"/>
        <rFont val="Arial"/>
        <family val="2"/>
      </rPr>
      <t>melebihi</t>
    </r>
    <r>
      <rPr>
        <sz val="11"/>
        <rFont val="Arial"/>
        <family val="2"/>
      </rPr>
      <t xml:space="preserve"> toleransi dan dinyatakan </t>
    </r>
    <r>
      <rPr>
        <b/>
        <sz val="11"/>
        <rFont val="Arial"/>
        <family val="2"/>
      </rPr>
      <t>LAIK PAKAI</t>
    </r>
    <r>
      <rPr>
        <sz val="11"/>
        <rFont val="Arial"/>
        <family val="2"/>
      </rPr>
      <t xml:space="preserve"> / </t>
    </r>
    <r>
      <rPr>
        <b/>
        <sz val="11"/>
        <rFont val="Arial"/>
        <family val="2"/>
      </rPr>
      <t>TIDAK LAIK PAKAI</t>
    </r>
  </si>
  <si>
    <t>VIII.</t>
  </si>
  <si>
    <t>Petugas Kalibrasi</t>
  </si>
  <si>
    <t xml:space="preserve"> </t>
  </si>
  <si>
    <t>1 / VIII - 22 / E - 008.27 DL</t>
  </si>
  <si>
    <t>awal</t>
  </si>
  <si>
    <t>akhir</t>
  </si>
  <si>
    <t>terkoreksi</t>
  </si>
  <si>
    <t>ktps</t>
  </si>
  <si>
    <t>Hasil Pemeriksaan Kondisi Fisik dan Fungsi komponen alat.</t>
  </si>
  <si>
    <t>Baik</t>
  </si>
  <si>
    <t xml:space="preserve">Hasil Pengukuran Keselamatan Listrik </t>
  </si>
  <si>
    <t xml:space="preserve"> Ambang Batas Yang Diijinkan</t>
  </si>
  <si>
    <t>G</t>
  </si>
  <si>
    <t>MΏ</t>
  </si>
  <si>
    <t>Resistansi Pembumian Protektif (kabel dapat dilepas)</t>
  </si>
  <si>
    <t>Ώ</t>
  </si>
  <si>
    <t>Kelas I</t>
  </si>
  <si>
    <t>Input NC</t>
  </si>
  <si>
    <t>Arus bocor peralatan untuk peralatan elektromedik kelas I</t>
  </si>
  <si>
    <t xml:space="preserve">Hasil Pengukuran Kinerja </t>
  </si>
  <si>
    <t>Koreksi</t>
  </si>
  <si>
    <t>Koreksi Relatif (%)</t>
  </si>
  <si>
    <t>Ketidakpastian              Pengukuran (%)</t>
  </si>
  <si>
    <t xml:space="preserve">  </t>
  </si>
  <si>
    <t>Setting Standar</t>
  </si>
  <si>
    <t xml:space="preserve"> Pembacaan pada Alat</t>
  </si>
  <si>
    <t>Rata-rata</t>
  </si>
  <si>
    <t>Kesalahan Relatif  (%)</t>
  </si>
  <si>
    <t>± 5%</t>
  </si>
  <si>
    <t>Ketidakpastian pengukuran  dilaporkan pada tingkat kepercayaan 95% dengan faktor cakupan k=2</t>
  </si>
  <si>
    <t>Alat Yang Digunakan</t>
  </si>
  <si>
    <t>Defibrillator Analyzer with ECG Simulator, Merek : Fluke, Model : Impulse 6000D, SN : 3100070</t>
  </si>
  <si>
    <t>Electrical Safety Analyzer, Merek : Fluke, Model : ESA 615, SN : 4669058</t>
  </si>
  <si>
    <t>Thermohygrobarometer, Merek : EXTECH, Model : SD700, SN : A.100615</t>
  </si>
  <si>
    <t>Gusti Arya Dinata</t>
  </si>
  <si>
    <t>Tanggal Pembuatan Laporan</t>
  </si>
  <si>
    <t>Choirul Huda</t>
  </si>
  <si>
    <t>Donny Martha</t>
  </si>
  <si>
    <t>Rangga Setya Hantoko</t>
  </si>
  <si>
    <t>Hary Ernanto</t>
  </si>
  <si>
    <t>Isra Mahensa</t>
  </si>
  <si>
    <t>Muhammad Zaenuri Sugiasmoro</t>
  </si>
  <si>
    <t>Hamdan Syarif</t>
  </si>
  <si>
    <t>Muhammad Irfan Husnuzhzhan</t>
  </si>
  <si>
    <t>Venna Filosofia</t>
  </si>
  <si>
    <t>Fatimah Novrianisa</t>
  </si>
  <si>
    <t>Septia Khairunnisa</t>
  </si>
  <si>
    <t>Dewi Nofitasari</t>
  </si>
  <si>
    <t>Sholihatussa"diah</t>
  </si>
  <si>
    <t>Siti Fathul Jannah</t>
  </si>
  <si>
    <t>Taufik Priawan</t>
  </si>
  <si>
    <t>Muhammad Iqbal Saiful Rahman</t>
  </si>
  <si>
    <t>Alpian Hadi</t>
  </si>
  <si>
    <t>Wardimanul Abrar</t>
  </si>
  <si>
    <t>Ryan Rama Chaesar R.</t>
  </si>
  <si>
    <t>Azhar Alamsyah</t>
  </si>
  <si>
    <t>Vikki Akhsanudin N.</t>
  </si>
  <si>
    <t>Muhammad Ihsan Ilyas</t>
  </si>
  <si>
    <t>Yurdha Algifari</t>
  </si>
  <si>
    <t>UNCERTAINTY BUDGET</t>
  </si>
  <si>
    <t>uici</t>
  </si>
  <si>
    <t>Komponen</t>
  </si>
  <si>
    <t>Satuan</t>
  </si>
  <si>
    <t>Distribusi</t>
  </si>
  <si>
    <t>U</t>
  </si>
  <si>
    <t>Pembagi</t>
  </si>
  <si>
    <t>vi</t>
  </si>
  <si>
    <t>ui</t>
  </si>
  <si>
    <t>ci</t>
  </si>
  <si>
    <t>(uici)^2</t>
  </si>
  <si>
    <t>(uici)^4/vi</t>
  </si>
  <si>
    <t xml:space="preserve">1. Repeatability </t>
  </si>
  <si>
    <t>normal</t>
  </si>
  <si>
    <t>2. Daya baca UUT</t>
  </si>
  <si>
    <t>rect.</t>
  </si>
  <si>
    <t>Jumlah</t>
  </si>
  <si>
    <t>Ketidakpastian baku gabungan, Uc</t>
  </si>
  <si>
    <t>Derajat kebebasan efektif, veff</t>
  </si>
  <si>
    <t>k</t>
  </si>
  <si>
    <t>Ketidakpastian bentangan, U = k.Uc</t>
  </si>
  <si>
    <t>U = k. Uc</t>
  </si>
  <si>
    <t>%</t>
  </si>
  <si>
    <t>Heart Rate 30 BPM</t>
  </si>
  <si>
    <t>3. Drift standar ECG Sim</t>
  </si>
  <si>
    <t>4. Sertifikat ECG Sim</t>
  </si>
  <si>
    <r>
      <t>Uc</t>
    </r>
    <r>
      <rPr>
        <sz val="11"/>
        <rFont val="Times New Roman"/>
        <family val="1"/>
      </rPr>
      <t xml:space="preserve"> = </t>
    </r>
    <r>
      <rPr>
        <sz val="11"/>
        <rFont val="Symbol"/>
        <family val="1"/>
        <charset val="2"/>
      </rPr>
      <t>Ö</t>
    </r>
    <r>
      <rPr>
        <sz val="11"/>
        <rFont val="Times New Roman"/>
        <family val="1"/>
      </rPr>
      <t xml:space="preserve"> [</t>
    </r>
    <r>
      <rPr>
        <sz val="11"/>
        <rFont val="Symbol"/>
        <family val="1"/>
        <charset val="2"/>
      </rPr>
      <t>S</t>
    </r>
    <r>
      <rPr>
        <sz val="11"/>
        <rFont val="Times New Roman"/>
        <family val="1"/>
      </rPr>
      <t>(u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 xml:space="preserve"> c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)²]</t>
    </r>
  </si>
  <si>
    <r>
      <t>n</t>
    </r>
    <r>
      <rPr>
        <vertAlign val="subscript"/>
        <sz val="11"/>
        <rFont val="Times New Roman"/>
        <family val="1"/>
      </rPr>
      <t>eff</t>
    </r>
    <r>
      <rPr>
        <sz val="11"/>
        <rFont val="Times New Roman"/>
        <family val="1"/>
      </rPr>
      <t xml:space="preserve"> = u</t>
    </r>
    <r>
      <rPr>
        <vertAlign val="subscript"/>
        <sz val="11"/>
        <rFont val="Times New Roman"/>
        <family val="1"/>
      </rPr>
      <t>c</t>
    </r>
    <r>
      <rPr>
        <vertAlign val="superscript"/>
        <sz val="11"/>
        <rFont val="Times New Roman"/>
        <family val="1"/>
      </rPr>
      <t>4</t>
    </r>
    <r>
      <rPr>
        <sz val="11"/>
        <rFont val="Times New Roman"/>
        <family val="1"/>
      </rPr>
      <t xml:space="preserve"> / [</t>
    </r>
    <r>
      <rPr>
        <sz val="11"/>
        <rFont val="Symbol"/>
        <family val="1"/>
        <charset val="2"/>
      </rPr>
      <t>S</t>
    </r>
    <r>
      <rPr>
        <sz val="11"/>
        <rFont val="Times New Roman"/>
        <family val="1"/>
      </rPr>
      <t>(u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 xml:space="preserve"> c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)</t>
    </r>
    <r>
      <rPr>
        <vertAlign val="superscript"/>
        <sz val="11"/>
        <rFont val="Times New Roman"/>
        <family val="1"/>
      </rPr>
      <t xml:space="preserve"> 4</t>
    </r>
    <r>
      <rPr>
        <sz val="11"/>
        <rFont val="Times New Roman"/>
        <family val="1"/>
      </rPr>
      <t>/</t>
    </r>
    <r>
      <rPr>
        <sz val="11"/>
        <rFont val="Symbol"/>
        <family val="1"/>
        <charset val="2"/>
      </rPr>
      <t>n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]</t>
    </r>
  </si>
  <si>
    <t>Faktor cakupan</t>
  </si>
  <si>
    <t>Heart Rate 60 BPM</t>
  </si>
  <si>
    <t>Heart Rate 120 BPM</t>
  </si>
  <si>
    <t>Heart Rate 180 BPM</t>
  </si>
  <si>
    <t>Heart Rate 240 BPM</t>
  </si>
  <si>
    <t>Pemeriksaan Kondisi Fisik dan Fungsi Alat</t>
  </si>
  <si>
    <t>Score (%)</t>
  </si>
  <si>
    <t>Terkoreksi</t>
  </si>
  <si>
    <t>Tidak terdapat grounding di ruangan</t>
  </si>
  <si>
    <t>Alat tidak boleh digunakan pada instalasi tanpa dilengkapi grounding</t>
  </si>
  <si>
    <t xml:space="preserve">Resistansi pembumian protektif </t>
  </si>
  <si>
    <t>Arus Bocor</t>
  </si>
  <si>
    <t>Instalasi</t>
  </si>
  <si>
    <t xml:space="preserve"> (kabel dapat dilepas)</t>
  </si>
  <si>
    <t>Resistansi Pembumian Protektif (kabel tidak dapat dilepas)</t>
  </si>
  <si>
    <t>(kabel tidak dapat dilepas)</t>
  </si>
  <si>
    <t>NG</t>
  </si>
  <si>
    <t>Arus bocor peralatan untuk peralatan elektromedik kelas II</t>
  </si>
  <si>
    <t>Pembacaan Standar</t>
  </si>
  <si>
    <t>[ |C|+|U| ] (%)</t>
  </si>
  <si>
    <t>Setting Standar
(BPM)</t>
  </si>
  <si>
    <t>Pembacaan Alat
(BPM)</t>
  </si>
  <si>
    <t>Koreksi
(BPM)</t>
  </si>
  <si>
    <t>Nama</t>
  </si>
  <si>
    <t>Paraf</t>
  </si>
  <si>
    <t>Score Total</t>
  </si>
  <si>
    <t>Dibuat :</t>
  </si>
  <si>
    <t>Penyelia :</t>
  </si>
  <si>
    <t>Tidak Baik</t>
  </si>
  <si>
    <t>Konversi TEXT</t>
  </si>
  <si>
    <t xml:space="preserve"> °C</t>
  </si>
  <si>
    <t xml:space="preserve"> Volt</t>
  </si>
  <si>
    <t xml:space="preserve"> %RH</t>
  </si>
  <si>
    <t xml:space="preserve">( </t>
  </si>
  <si>
    <t xml:space="preserve"> ± </t>
  </si>
  <si>
    <t xml:space="preserve"> )</t>
  </si>
  <si>
    <t>(BPM)</t>
  </si>
  <si>
    <r>
      <t>+</t>
    </r>
    <r>
      <rPr>
        <sz val="12"/>
        <rFont val="Arial"/>
        <family val="2"/>
      </rPr>
      <t xml:space="preserve"> 5%</t>
    </r>
  </si>
  <si>
    <t>Menyetujui ,</t>
  </si>
  <si>
    <t>Kepala Instalasi Laboratorium</t>
  </si>
  <si>
    <t>Pengujian dan Kalibrasi</t>
  </si>
  <si>
    <t>Choirul Huda, S.Tr. Kes</t>
  </si>
  <si>
    <t>Halaman 2 dari 2 halaman</t>
  </si>
  <si>
    <t>NIP 198103112010121001</t>
  </si>
  <si>
    <t>NIP 198008062010121001</t>
  </si>
  <si>
    <t>INPUT DATA SERTIFIKAT ESA</t>
  </si>
  <si>
    <t>A</t>
  </si>
  <si>
    <t>ESA 620 (1837056)</t>
  </si>
  <si>
    <t>B</t>
  </si>
  <si>
    <t>ESA 620 (1834020)</t>
  </si>
  <si>
    <t>C</t>
  </si>
  <si>
    <t>ESA 615 (2853077)</t>
  </si>
  <si>
    <t>KOREKSI ESA</t>
  </si>
  <si>
    <t>Setting VAC</t>
  </si>
  <si>
    <t>Driff</t>
  </si>
  <si>
    <t>U95</t>
  </si>
  <si>
    <t>( V )</t>
  </si>
  <si>
    <t>Current Leakage</t>
  </si>
  <si>
    <t>( uA )</t>
  </si>
  <si>
    <t>Main-PE</t>
  </si>
  <si>
    <r>
      <t>( M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</si>
  <si>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Resistance</t>
  </si>
  <si>
    <r>
      <t xml:space="preserve">( 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</si>
  <si>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D</t>
  </si>
  <si>
    <t>ESA 615 (2853078)</t>
  </si>
  <si>
    <t>E</t>
  </si>
  <si>
    <t>ESA 615 (3148907)</t>
  </si>
  <si>
    <t>F</t>
  </si>
  <si>
    <t>ESA 615 (3148908)</t>
  </si>
  <si>
    <t>ESA 615 (3699030)</t>
  </si>
  <si>
    <t>H</t>
  </si>
  <si>
    <t>ESA 615 (4669058)</t>
  </si>
  <si>
    <t>ESA 615 (4670010)</t>
  </si>
  <si>
    <t>J</t>
  </si>
  <si>
    <t>K</t>
  </si>
  <si>
    <t>L</t>
  </si>
  <si>
    <t>-</t>
  </si>
  <si>
    <t>No. Urut</t>
  </si>
  <si>
    <t>Koreksi Tegangan Jala jala</t>
  </si>
  <si>
    <t>Koreksi Resistansi Isolasi</t>
  </si>
  <si>
    <t>Koreksi Resistansi Pembumian</t>
  </si>
  <si>
    <t>Koreksi Arus Bocor (NO)</t>
  </si>
  <si>
    <t>Koreksi Arus Bocor AP</t>
  </si>
  <si>
    <t>Pembacaan terkoreksi</t>
  </si>
  <si>
    <t>Hasil</t>
  </si>
  <si>
    <t>Koreksi Arus bocor (NC)</t>
  </si>
  <si>
    <t>U95 Jala-jala</t>
  </si>
  <si>
    <t>NO</t>
  </si>
  <si>
    <t>NC</t>
  </si>
  <si>
    <t>Electrical Safety Analyzer, Merek : Fluke, Model : ESA 620, SN : 1837056</t>
  </si>
  <si>
    <t>Hasil pengukuran keselamatan listrik tertelusur ke Satuan Internasional ( SI ) melalui PT. Kaliman (LK-032-IDN)</t>
  </si>
  <si>
    <t>Electrical Safety Analyzer, Merek : Fluke, Model : ESA 620, SN : 1834020</t>
  </si>
  <si>
    <t>Electrical Safety Analyzer, Merek : Fluke, Model : ESA 615, SN : 2853077</t>
  </si>
  <si>
    <t>Electrical Safety Analyzer, Merek : Fluke, Model : ESA 615, SN : 2853078</t>
  </si>
  <si>
    <t>Electrical Safety Analyzer, Merek : Fluke, Model : ESA 615, SN : 3148907</t>
  </si>
  <si>
    <t>Electrical Safety Analyzer, Merek : Fluke, Model : ESA 615, SN : 3148908</t>
  </si>
  <si>
    <t>Electrical Safety Analyzer, Merek : Fluke, Model : ESA 615, SN : 3699030</t>
  </si>
  <si>
    <t>Electrical Safety Analyzer, Merek : Fluke, Model : ESA 615, SN : 4670010</t>
  </si>
  <si>
    <t>Electrical Safety Analyzer, Merek : Fluke, Model : ESA 615, SN : --</t>
  </si>
  <si>
    <t>Electrical Safety Analyzer 11</t>
  </si>
  <si>
    <t>Electrical Safety Analyzer 12</t>
  </si>
  <si>
    <t>INPUT SERTIFIKAT THERMOHYGROMETER</t>
  </si>
  <si>
    <t>KOREKSI KIMO THERMOHYGROMETER 15062873</t>
  </si>
  <si>
    <t>Suhu</t>
  </si>
  <si>
    <t>Tahun</t>
  </si>
  <si>
    <t>DRIFT</t>
  </si>
  <si>
    <t>Kelembaban</t>
  </si>
  <si>
    <t>Tekanan</t>
  </si>
  <si>
    <r>
      <rPr>
        <b/>
        <sz val="11"/>
        <rFont val="Calibri"/>
        <family val="2"/>
      </rPr>
      <t>°</t>
    </r>
    <r>
      <rPr>
        <b/>
        <i/>
        <sz val="11"/>
        <rFont val="Times New Roman"/>
        <family val="1"/>
      </rPr>
      <t>C</t>
    </r>
  </si>
  <si>
    <t>%RH</t>
  </si>
  <si>
    <t>hPa</t>
  </si>
  <si>
    <t>KOREKSI KIMO THERMOHYGROMETER 15062874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</si>
  <si>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</si>
  <si>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</si>
  <si>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</si>
  <si>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</si>
  <si>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</si>
  <si>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</si>
  <si>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</si>
  <si>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</si>
  <si>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</si>
  <si>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KOREKSI EXTECH A.100586</t>
  </si>
  <si>
    <t>KOREKSI EXTECH A.100605</t>
  </si>
  <si>
    <t>KOREKSI EXTECH A.100609</t>
  </si>
  <si>
    <t>KOREKSI EXTECH A.100611</t>
  </si>
  <si>
    <t>KOREKSI EXTECH A.100616</t>
  </si>
  <si>
    <t>KOREKSI EXTECH A.100617</t>
  </si>
  <si>
    <t>KOREKSI EXTECH A.100618</t>
  </si>
  <si>
    <t>KOREKSI EXTECH A.100615</t>
  </si>
  <si>
    <t>No urut alat</t>
  </si>
  <si>
    <t>KOREKSI THERMOHYGROMETER</t>
  </si>
  <si>
    <r>
      <rPr>
        <b/>
        <sz val="11"/>
        <rFont val="Times New Roman"/>
        <family val="1"/>
      </rPr>
      <t>°</t>
    </r>
    <r>
      <rPr>
        <b/>
        <i/>
        <sz val="11"/>
        <rFont val="Times New Roman"/>
        <family val="1"/>
      </rPr>
      <t>C</t>
    </r>
  </si>
  <si>
    <t>Rata-rata standar</t>
  </si>
  <si>
    <t>Rata-rata Terkoreksi</t>
  </si>
  <si>
    <t>STDEV</t>
  </si>
  <si>
    <t>HASIL</t>
  </si>
  <si>
    <t>KOREKSI SUHU</t>
  </si>
  <si>
    <t>KOREKSI KELEMBABAN</t>
  </si>
  <si>
    <t>KOREKSI TEKANAN</t>
  </si>
  <si>
    <t>Thermohygrolight, Merek : KIMO, Model : KH-210-AO, SN : 15062873</t>
  </si>
  <si>
    <t>Thermohygrolight, Merek : KIMO, Model : KH-210-AO, SN : 15062874</t>
  </si>
  <si>
    <t>Thermohygrolight, Merek : KIMO, Model : KH-210-AO, SN : 14082463</t>
  </si>
  <si>
    <t xml:space="preserve"> hPa</t>
  </si>
  <si>
    <t>Thermohygrolight, Merek : KIMO, Model : KH-210-AO, SN : 15062872</t>
  </si>
  <si>
    <t>Thermohygrolight, Merek : KIMO, Model : KH-210-AO, SN : 15062875</t>
  </si>
  <si>
    <t>Thermohygrolight, Merek : Greisinger, Model : GFTB 200, SN : 34903046</t>
  </si>
  <si>
    <t>Thermohygrolight, Merek : Greisinger, Model : GFTB 200, SN : 34903053</t>
  </si>
  <si>
    <t>Thermohygrolight, Merek : Greisinger, Model : GFTB 200, SN : 34903051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</si>
  <si>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</si>
  <si>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</si>
  <si>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</si>
  <si>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t>Thermohygrobarometer, Merek : EXTECH, Model : SD700, SN : A.100586</t>
  </si>
  <si>
    <t>Thermohygrobarometer, Merek : EXTECH, Model : SD700, SN : A.100605</t>
  </si>
  <si>
    <t>Thermohygrobarometer, Merek : EXTECH, Model : SD700, SN : A.100609</t>
  </si>
  <si>
    <t>Thermohygrobarometer, Merek : EXTECH, Model : SD700, SN : A.100611</t>
  </si>
  <si>
    <t>Thermohygrobarometer, Merek : EXTECH, Model : SD700, SN : A.100616</t>
  </si>
  <si>
    <t>Thermohygrobarometer, Merek : EXTECH, Model : SD700, SN : A.100617</t>
  </si>
  <si>
    <t>Thermohygrobarometer, Merek : EXTECH, Model : SD700, SN : A.100618</t>
  </si>
  <si>
    <t>Interpolasi Koreksi</t>
  </si>
  <si>
    <t>Interpolasi U95</t>
  </si>
  <si>
    <t>Daya Baca UUT</t>
  </si>
  <si>
    <t>Interpolasi Drift</t>
  </si>
  <si>
    <t>U95 STD</t>
  </si>
  <si>
    <t>Kecepatan</t>
  </si>
  <si>
    <t>rpm</t>
  </si>
  <si>
    <t>No Urut Titik Ukur</t>
  </si>
  <si>
    <t>U95    STD</t>
  </si>
  <si>
    <t>IX</t>
  </si>
  <si>
    <t>VII</t>
  </si>
  <si>
    <t>VIII</t>
  </si>
  <si>
    <t>KOREKSI</t>
  </si>
  <si>
    <t>INTERPOLASI KOREKSI</t>
  </si>
  <si>
    <t>INTERPOLASI DRIFT</t>
  </si>
  <si>
    <t>Tahun Kalibrasi</t>
  </si>
  <si>
    <t>INPUT SERTIFIKAT ECG SIMULATOR</t>
  </si>
  <si>
    <t>1. PS 410 SN. 2631276</t>
  </si>
  <si>
    <t>2. PS 420 SN. 1827055</t>
  </si>
  <si>
    <t>3. PS420 SN. 1826060</t>
  </si>
  <si>
    <t>ECG</t>
  </si>
  <si>
    <t>4. MPS450 SN. 186433</t>
  </si>
  <si>
    <t>5. MPS450 SN. 186435</t>
  </si>
  <si>
    <t>6. Prosim 8 SN. 3217028</t>
  </si>
  <si>
    <t>7. Prosim 8 SN. 3188428</t>
  </si>
  <si>
    <t>8. PatSim200, SN : 15L-0684</t>
  </si>
  <si>
    <t>9. PatSim200, SN : 11L-0293</t>
  </si>
  <si>
    <t>( BPM )</t>
  </si>
  <si>
    <t>10. Impulse 7000DP (1837053)</t>
  </si>
  <si>
    <t>11. Impulse 7000DP (3732537)</t>
  </si>
  <si>
    <t>12. Impulse 6000D (3100070)</t>
  </si>
  <si>
    <t>Multiparameter Simulator, Merek : Fluke, Model : PS 410, SN : 2631276</t>
  </si>
  <si>
    <t>Hasil kalibrasi ECG tertelusur ke Satuan Internasional melalui DIRJEN YANKES BPFK JAKARTA</t>
  </si>
  <si>
    <t>Multiparameter Simulator, Merek : Fluke, Model : PS 420, SN : 1826055</t>
  </si>
  <si>
    <t>Hasil kalibrasi ECG tertelusur ke Satuan Internasional melalui CALTEK PTE LTD (LA-2003-0292-C)</t>
  </si>
  <si>
    <t>Multiparameter Simulator, Merek : Fluke, Model : PS 420, SN : 1827060</t>
  </si>
  <si>
    <t>Multiparameter Simulator, Merek : Fluke, Model : MPS 450, SN : 184633</t>
  </si>
  <si>
    <t>Multiparameter Simulator, Merek : Fluke, Model : MPS 450, SN : 184635</t>
  </si>
  <si>
    <t>Vital Sign Simulator, Merek : Fluke, Model : Prosim 8, SN : 3217028</t>
  </si>
  <si>
    <t>Vital Sign Simulator, Merek : Fluke, Model : Prosim 8, SN : 3188428</t>
  </si>
  <si>
    <t>Multiparameter Simulator, Merek : RIGEL , Model : PatSim200, SN : 15L-0684</t>
  </si>
  <si>
    <t>Multiparameter Simulator, Merek : RIGEL , Model : PatSim200, SN : 11L-0293</t>
  </si>
  <si>
    <t>Defibrillator Analyzer with ECG Simulator, Merek : Fluke, Model : Impulse 7000DP, SN : 1837053</t>
  </si>
  <si>
    <t>Defibrillator Analyzer with ECG Simulator, Merek : Fluke, Model : Impulse 7000DP, SN : 3732537</t>
  </si>
  <si>
    <t>A. Kalibrasi Akurasi ECG</t>
  </si>
  <si>
    <t>Setting Std</t>
  </si>
  <si>
    <t>Rata-rata Pembacaan</t>
  </si>
  <si>
    <t>Resolusi Alat</t>
  </si>
  <si>
    <t xml:space="preserve">Merek </t>
  </si>
  <si>
    <t>LEMBAR KERJA KALIBRASI HEART RATE MONITOR</t>
  </si>
  <si>
    <t>INPUT DATA KALIBRASI HEART RATE MONITOR</t>
  </si>
  <si>
    <t>HASIL KALIBRASI HEART RATE MONITOR</t>
  </si>
  <si>
    <t>Catu daya menggunakan baterai</t>
  </si>
  <si>
    <t>Tidak dilakukan pengukuran kelistrikan dikarenakan alat tidak boleh di matikan</t>
  </si>
  <si>
    <t xml:space="preserve"> Nomor Sertifikat / Surat Keterangan : 27 / ......   / .........  - ........ / E - ............................</t>
  </si>
  <si>
    <t>Nomor Sertifikat : 27 /</t>
  </si>
  <si>
    <t>Nomor Surat Keterangan : 27 / M -</t>
  </si>
  <si>
    <t>KL.MK -16</t>
  </si>
  <si>
    <t>Rev 0 : 1.9.2023</t>
  </si>
  <si>
    <t>Alat yang dikalibrasi dalam batas toleransi dan dinyatakan LAIK PAKAI</t>
  </si>
  <si>
    <t>Alat yang dikalibrasi melebihi batas toleransi dan dinyatakan TIDAK LAIK PAKAI</t>
  </si>
  <si>
    <r>
      <t>o</t>
    </r>
    <r>
      <rPr>
        <sz val="11"/>
        <color theme="1"/>
        <rFont val="Arial"/>
        <family val="2"/>
      </rPr>
      <t>C</t>
    </r>
  </si>
  <si>
    <t>SERTIFIKAT PENGUJIAN</t>
  </si>
  <si>
    <t xml:space="preserve">                                                                 </t>
  </si>
  <si>
    <t xml:space="preserve">Nama Alat            : </t>
  </si>
  <si>
    <t>Dental Unit</t>
  </si>
  <si>
    <t xml:space="preserve">Nomor Order           : </t>
  </si>
  <si>
    <t>Model / Tipe</t>
  </si>
  <si>
    <t>Kapasitas</t>
  </si>
  <si>
    <t>Nama Pemilik      :</t>
  </si>
  <si>
    <t xml:space="preserve">Identitas Pemilik     : </t>
  </si>
  <si>
    <t>Alamat Pemilik</t>
  </si>
  <si>
    <t>Jalan ABC</t>
  </si>
  <si>
    <t>Laik Pakai, disarankan untuk dikalibrasi ulang pada tanggal…......</t>
  </si>
  <si>
    <t>Banjarbaru,</t>
  </si>
  <si>
    <t>Kepala Loka Pengamanan</t>
  </si>
  <si>
    <t>Fasilitas Kesehatan Banjarbaru</t>
  </si>
  <si>
    <t>Yuni Irmawati, SKM., MA</t>
  </si>
  <si>
    <t>NIP 197806222002122001</t>
  </si>
  <si>
    <t>NOMOR ORDER</t>
  </si>
  <si>
    <t>KUNCI KOP SERTIFIKAT</t>
  </si>
  <si>
    <t>PENENTU KOP SERTIFIKAT</t>
  </si>
  <si>
    <t>BAHAN</t>
  </si>
  <si>
    <t>SERTIFIKAT KALIBRASI</t>
  </si>
  <si>
    <t>BAHAN RUANGAN &amp; PENANGGUNG JAWAB</t>
  </si>
  <si>
    <t>NAMA RUANGAN PADA INPUT DATA</t>
  </si>
  <si>
    <t>Laboratorium Kalibrasi LPFK Banjarbaru</t>
  </si>
  <si>
    <t>MENAMBAH 1 TAHUN SEBELUMNYA</t>
  </si>
  <si>
    <t>MERUBAH DARI ANGKA KE HURUF</t>
  </si>
  <si>
    <t>HASIL KALIBRASI</t>
  </si>
  <si>
    <t>BAHAN GABUNGAN</t>
  </si>
  <si>
    <t xml:space="preserve">Laik Pakai, disarankan untuk dikalibrasi ulang pada tanggal </t>
  </si>
  <si>
    <t xml:space="preserve">Laik Pakai, disarankan untuk diuji ulang pada tanggal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</si>
</sst>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164" formatCode="0.000"/>
    <numFmt numFmtId="165" formatCode="0.0"/>
    <numFmt numFmtId="166" formatCode="0.00000"/>
    <numFmt numFmtId="167" formatCode="0.0000"/>
    <numFmt numFmtId="168" formatCode="0.0\ \ &quot;Volt&quot;"/>
    <numFmt numFmtId="169" formatCode="\±\ \ \ \ 0.0\ \ \°\C"/>
    <numFmt numFmtId="170" formatCode="\±\ \ \ \ 0.0\ \ &quot;%RH&quot;"/>
    <numFmt numFmtId="171" formatCode="\&gt;\ 0"/>
    <numFmt numFmtId="172" formatCode="0&quot;%&quot;"/>
    <numFmt numFmtId="173" formatCode="\≤\ 0.0"/>
    <numFmt numFmtId="174" formatCode="\≥\ 0"/>
    <numFmt numFmtId="175" formatCode="\≤\ 0"/>
    <numFmt numFmtId="176" formatCode="\&gt;\ \2"/>
    <numFmt numFmtId="177" formatCode="0.00\ &quot;%&quot;"/>
    <numFmt numFmtId="178" formatCode="\±\ 0\ &quot;%&quot;"/>
    <numFmt numFmtId="179" formatCode="0.0\ &quot;%&quot;"/>
    <numFmt numFmtId="180" formatCode="0.0\ &quot;MΩ&quot;"/>
    <numFmt numFmtId="181" formatCode="0.000\ \Ω"/>
    <numFmt numFmtId="182" formatCode="0.0\ \µ\A"/>
    <numFmt numFmtId="183" formatCode="0\ \µ\A"/>
    <numFmt numFmtId="184" formatCode="0.0\ \Ω"/>
    <numFmt numFmtId="185" formatCode="\≤\ 0\ \µ\A"/>
    <numFmt numFmtId="186" formatCode="[$-421]dd\ mmmm\ yyyy;@"/>
    <numFmt numFmtId="187" formatCode="0\ &quot;BPM&quot;"/>
    <numFmt numFmtId="188" formatCode="[$-C09]d\ mmmm\ yyyy;@"/>
  </numFmts>
  <fonts count="98" x14ac:knownFonts="1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indexed="81"/>
      <name val="Tahoma"/>
      <family val="2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b/>
      <u/>
      <sz val="14"/>
      <name val="Calibri"/>
      <family val="2"/>
      <scheme val="minor"/>
    </font>
    <font>
      <sz val="12"/>
      <name val="Calibri"/>
      <family val="2"/>
    </font>
    <font>
      <sz val="13"/>
      <name val="Calibri"/>
      <family val="2"/>
      <scheme val="minor"/>
    </font>
    <font>
      <b/>
      <i/>
      <sz val="10"/>
      <name val="Calibri"/>
      <family val="2"/>
      <scheme val="minor"/>
    </font>
    <font>
      <b/>
      <i/>
      <sz val="10"/>
      <name val="Arial"/>
      <family val="2"/>
    </font>
    <font>
      <b/>
      <i/>
      <sz val="16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2"/>
      <name val="Times New Roman"/>
      <family val="1"/>
    </font>
    <font>
      <b/>
      <i/>
      <sz val="11"/>
      <name val="Arial"/>
      <family val="2"/>
    </font>
    <font>
      <sz val="48"/>
      <name val="Arial"/>
      <family val="2"/>
    </font>
    <font>
      <b/>
      <i/>
      <sz val="11"/>
      <name val="Times New Roman"/>
      <family val="1"/>
    </font>
    <font>
      <b/>
      <sz val="11"/>
      <name val="Times New Roman"/>
      <family val="1"/>
    </font>
    <font>
      <sz val="48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  <family val="1"/>
    </font>
    <font>
      <b/>
      <sz val="10"/>
      <name val="Arial"/>
      <family val="2"/>
    </font>
    <font>
      <b/>
      <sz val="8"/>
      <name val="Times New Roman"/>
      <family val="1"/>
    </font>
    <font>
      <b/>
      <sz val="8"/>
      <name val="Arial"/>
      <family val="2"/>
    </font>
    <font>
      <sz val="8"/>
      <name val="Arial"/>
      <family val="2"/>
    </font>
    <font>
      <sz val="8"/>
      <name val="Times New Roman"/>
      <family val="1"/>
    </font>
    <font>
      <b/>
      <sz val="11"/>
      <name val="Calibri"/>
      <family val="2"/>
    </font>
    <font>
      <sz val="10"/>
      <name val="Calibri"/>
      <family val="2"/>
    </font>
    <font>
      <sz val="11"/>
      <name val="Times New Roman"/>
      <family val="1"/>
    </font>
    <font>
      <b/>
      <sz val="10"/>
      <name val="Calibri"/>
      <family val="2"/>
    </font>
    <font>
      <sz val="1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b/>
      <sz val="8"/>
      <color theme="1"/>
      <name val="Calibri"/>
      <family val="2"/>
      <scheme val="minor"/>
    </font>
    <font>
      <b/>
      <sz val="14"/>
      <name val="Times New Roman"/>
      <family val="1"/>
    </font>
    <font>
      <b/>
      <sz val="9"/>
      <name val="Arial"/>
      <family val="2"/>
    </font>
    <font>
      <sz val="12"/>
      <name val="Times New Roman"/>
      <family val="1"/>
    </font>
    <font>
      <b/>
      <sz val="11"/>
      <name val="Arial"/>
      <family val="2"/>
    </font>
    <font>
      <b/>
      <sz val="14"/>
      <name val="Arial"/>
      <family val="2"/>
    </font>
    <font>
      <sz val="11"/>
      <color theme="1"/>
      <name val="Arial"/>
      <family val="2"/>
    </font>
    <font>
      <vertAlign val="subscript"/>
      <sz val="11"/>
      <name val="Times New Roman"/>
      <family val="1"/>
    </font>
    <font>
      <sz val="11"/>
      <name val="Symbol"/>
      <family val="1"/>
      <charset val="2"/>
    </font>
    <font>
      <vertAlign val="superscript"/>
      <sz val="11"/>
      <name val="Times New Roman"/>
      <family val="1"/>
    </font>
    <font>
      <b/>
      <u/>
      <sz val="12"/>
      <name val="Arial"/>
      <family val="2"/>
    </font>
    <font>
      <sz val="12"/>
      <name val="Arial"/>
      <family val="2"/>
    </font>
    <font>
      <sz val="13"/>
      <name val="Arial"/>
      <family val="2"/>
    </font>
    <font>
      <u/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u/>
      <sz val="11"/>
      <name val="Arial"/>
      <family val="2"/>
    </font>
    <font>
      <vertAlign val="superscript"/>
      <sz val="11"/>
      <name val="Arial"/>
      <family val="2"/>
    </font>
    <font>
      <u/>
      <sz val="11"/>
      <name val="Arial"/>
      <family val="2"/>
    </font>
    <font>
      <sz val="11"/>
      <name val="Calibri"/>
      <family val="2"/>
    </font>
    <font>
      <b/>
      <sz val="8"/>
      <color theme="0"/>
      <name val="Times New Roman"/>
      <family val="1"/>
    </font>
    <font>
      <b/>
      <sz val="18"/>
      <name val="Arial"/>
      <family val="2"/>
    </font>
    <font>
      <sz val="10"/>
      <color theme="0" tint="-0.34998626667073579"/>
      <name val="Arial"/>
      <family val="2"/>
    </font>
    <font>
      <b/>
      <i/>
      <sz val="8"/>
      <name val="Arial"/>
      <family val="2"/>
    </font>
    <font>
      <sz val="10"/>
      <color rgb="FF000000"/>
      <name val="Arial"/>
      <family val="2"/>
    </font>
    <font>
      <b/>
      <sz val="28"/>
      <name val="Arial"/>
      <family val="2"/>
    </font>
    <font>
      <sz val="10"/>
      <name val="Arial"/>
      <family val="2"/>
      <charset val="1"/>
    </font>
    <font>
      <sz val="10"/>
      <name val="Times New Roman"/>
      <family val="1"/>
      <charset val="1"/>
    </font>
    <font>
      <sz val="8"/>
      <name val="Times New Roman"/>
      <family val="1"/>
      <charset val="1"/>
    </font>
    <font>
      <sz val="10"/>
      <color theme="0"/>
      <name val="Arial"/>
      <family val="2"/>
      <charset val="1"/>
    </font>
    <font>
      <sz val="10"/>
      <color theme="0"/>
      <name val="Times New Roman"/>
      <family val="1"/>
      <charset val="1"/>
    </font>
    <font>
      <sz val="8"/>
      <color theme="0"/>
      <name val="Times New Roman"/>
      <family val="1"/>
      <charset val="1"/>
    </font>
    <font>
      <sz val="8"/>
      <color theme="1"/>
      <name val="Arial"/>
      <family val="2"/>
    </font>
    <font>
      <sz val="8"/>
      <name val="Calibri"/>
      <family val="2"/>
    </font>
    <font>
      <b/>
      <sz val="12"/>
      <color rgb="FFFF0000"/>
      <name val="Arial"/>
      <family val="2"/>
    </font>
    <font>
      <sz val="11"/>
      <color rgb="FFFF000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  <font>
      <vertAlign val="superscript"/>
      <sz val="11"/>
      <color theme="1"/>
      <name val="Arial"/>
      <family val="2"/>
    </font>
    <font>
      <b/>
      <sz val="18"/>
      <color theme="1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Arial"/>
      <family val="2"/>
    </font>
    <font>
      <b/>
      <u/>
      <sz val="24"/>
      <name val="Times New Roman"/>
      <family val="1"/>
    </font>
    <font>
      <sz val="10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5" tint="-0.249977111117893"/>
      <name val="Arial"/>
      <family val="2"/>
    </font>
    <font>
      <sz val="11"/>
      <color theme="1"/>
      <name val="Times New Roman"/>
      <family val="1"/>
    </font>
    <font>
      <sz val="11"/>
      <color theme="5" tint="-0.249977111117893"/>
      <name val="Times New Roman"/>
      <family val="1"/>
    </font>
    <font>
      <sz val="12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2" fillId="0" borderId="0"/>
    <xf numFmtId="0" fontId="2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67">
    <xf numFmtId="0" fontId="0" fillId="0" borderId="0" xfId="0"/>
    <xf numFmtId="0" fontId="12" fillId="0" borderId="0" xfId="0" applyFont="1"/>
    <xf numFmtId="0" fontId="7" fillId="0" borderId="0" xfId="0" applyFont="1" applyAlignment="1">
      <alignment vertical="center"/>
    </xf>
    <xf numFmtId="2" fontId="7" fillId="0" borderId="0" xfId="0" applyNumberFormat="1" applyFont="1" applyAlignment="1">
      <alignment horizontal="center" vertical="center"/>
    </xf>
    <xf numFmtId="0" fontId="9" fillId="0" borderId="0" xfId="0" quotePrefix="1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0" fontId="12" fillId="0" borderId="0" xfId="0" applyFont="1" applyAlignment="1">
      <alignment vertical="center"/>
    </xf>
    <xf numFmtId="0" fontId="10" fillId="0" borderId="0" xfId="0" applyFont="1" applyAlignment="1" applyProtection="1">
      <alignment vertical="center"/>
      <protection locked="0"/>
    </xf>
    <xf numFmtId="0" fontId="23" fillId="2" borderId="0" xfId="0" applyFont="1" applyFill="1" applyAlignment="1">
      <alignment vertical="center"/>
    </xf>
    <xf numFmtId="0" fontId="23" fillId="2" borderId="0" xfId="0" applyFont="1" applyFill="1" applyAlignment="1">
      <alignment horizontal="center" vertical="center"/>
    </xf>
    <xf numFmtId="165" fontId="23" fillId="2" borderId="0" xfId="0" applyNumberFormat="1" applyFont="1" applyFill="1" applyAlignment="1">
      <alignment horizontal="center" vertical="center"/>
    </xf>
    <xf numFmtId="2" fontId="23" fillId="2" borderId="0" xfId="0" applyNumberFormat="1" applyFont="1" applyFill="1" applyAlignment="1">
      <alignment horizontal="center" vertical="center"/>
    </xf>
    <xf numFmtId="0" fontId="23" fillId="2" borderId="0" xfId="0" applyFont="1" applyFill="1"/>
    <xf numFmtId="0" fontId="1" fillId="2" borderId="0" xfId="0" applyFont="1" applyFill="1"/>
    <xf numFmtId="0" fontId="0" fillId="0" borderId="49" xfId="0" applyBorder="1"/>
    <xf numFmtId="0" fontId="24" fillId="2" borderId="0" xfId="0" applyFont="1" applyFill="1" applyAlignment="1">
      <alignment vertical="center"/>
    </xf>
    <xf numFmtId="0" fontId="0" fillId="2" borderId="0" xfId="0" applyFill="1"/>
    <xf numFmtId="0" fontId="27" fillId="2" borderId="0" xfId="1" applyFont="1" applyFill="1"/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vertical="center" wrapText="1"/>
    </xf>
    <xf numFmtId="0" fontId="26" fillId="2" borderId="0" xfId="0" applyFont="1" applyFill="1" applyAlignment="1">
      <alignment vertical="center"/>
    </xf>
    <xf numFmtId="0" fontId="27" fillId="2" borderId="0" xfId="1" applyFont="1" applyFill="1" applyAlignment="1">
      <alignment vertical="center"/>
    </xf>
    <xf numFmtId="0" fontId="20" fillId="2" borderId="26" xfId="0" applyFont="1" applyFill="1" applyBorder="1" applyAlignment="1">
      <alignment horizontal="center" vertical="center"/>
    </xf>
    <xf numFmtId="0" fontId="27" fillId="2" borderId="26" xfId="1" applyFont="1" applyFill="1" applyBorder="1" applyAlignment="1">
      <alignment horizontal="center" vertical="center"/>
    </xf>
    <xf numFmtId="0" fontId="20" fillId="6" borderId="10" xfId="0" applyFont="1" applyFill="1" applyBorder="1" applyAlignment="1">
      <alignment horizontal="center" vertical="center"/>
    </xf>
    <xf numFmtId="0" fontId="20" fillId="6" borderId="10" xfId="0" quotePrefix="1" applyFont="1" applyFill="1" applyBorder="1" applyAlignment="1">
      <alignment horizontal="center" vertical="center"/>
    </xf>
    <xf numFmtId="0" fontId="27" fillId="2" borderId="10" xfId="1" applyFont="1" applyFill="1" applyBorder="1" applyAlignment="1">
      <alignment horizontal="center" vertical="center"/>
    </xf>
    <xf numFmtId="0" fontId="27" fillId="2" borderId="0" xfId="1" applyFont="1" applyFill="1" applyAlignment="1">
      <alignment horizontal="center" vertical="center"/>
    </xf>
    <xf numFmtId="0" fontId="20" fillId="2" borderId="0" xfId="0" quotePrefix="1" applyFont="1" applyFill="1" applyAlignment="1">
      <alignment horizontal="center" vertical="center"/>
    </xf>
    <xf numFmtId="2" fontId="1" fillId="6" borderId="10" xfId="0" quotePrefix="1" applyNumberFormat="1" applyFont="1" applyFill="1" applyBorder="1" applyAlignment="1">
      <alignment horizontal="center" vertical="center"/>
    </xf>
    <xf numFmtId="2" fontId="1" fillId="6" borderId="10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/>
    </xf>
    <xf numFmtId="2" fontId="1" fillId="2" borderId="10" xfId="0" applyNumberFormat="1" applyFont="1" applyFill="1" applyBorder="1" applyAlignment="1">
      <alignment horizontal="center" vertical="center"/>
    </xf>
    <xf numFmtId="1" fontId="1" fillId="6" borderId="10" xfId="0" applyNumberFormat="1" applyFont="1" applyFill="1" applyBorder="1" applyAlignment="1">
      <alignment horizontal="center" vertical="center"/>
    </xf>
    <xf numFmtId="2" fontId="0" fillId="6" borderId="10" xfId="0" applyNumberFormat="1" applyFill="1" applyBorder="1" applyAlignment="1">
      <alignment horizontal="center" vertical="center"/>
    </xf>
    <xf numFmtId="2" fontId="1" fillId="2" borderId="28" xfId="0" applyNumberFormat="1" applyFont="1" applyFill="1" applyBorder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1" fillId="2" borderId="0" xfId="0" quotePrefix="1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12" xfId="0" applyNumberFormat="1" applyFill="1" applyBorder="1" applyAlignment="1">
      <alignment horizontal="center" vertical="center"/>
    </xf>
    <xf numFmtId="0" fontId="26" fillId="2" borderId="0" xfId="0" applyFont="1" applyFill="1" applyAlignment="1">
      <alignment horizontal="center" vertical="center"/>
    </xf>
    <xf numFmtId="2" fontId="0" fillId="2" borderId="16" xfId="0" applyNumberFormat="1" applyFill="1" applyBorder="1" applyAlignment="1">
      <alignment horizontal="center" vertical="center"/>
    </xf>
    <xf numFmtId="2" fontId="0" fillId="2" borderId="0" xfId="0" applyNumberFormat="1" applyFill="1" applyAlignment="1">
      <alignment vertical="center"/>
    </xf>
    <xf numFmtId="0" fontId="0" fillId="2" borderId="6" xfId="0" applyFill="1" applyBorder="1"/>
    <xf numFmtId="0" fontId="0" fillId="2" borderId="51" xfId="0" applyFill="1" applyBorder="1"/>
    <xf numFmtId="0" fontId="23" fillId="0" borderId="16" xfId="0" applyFont="1" applyBorder="1"/>
    <xf numFmtId="0" fontId="23" fillId="0" borderId="0" xfId="0" applyFont="1"/>
    <xf numFmtId="0" fontId="23" fillId="0" borderId="51" xfId="0" applyFont="1" applyBorder="1"/>
    <xf numFmtId="0" fontId="0" fillId="0" borderId="51" xfId="0" applyBorder="1"/>
    <xf numFmtId="164" fontId="1" fillId="6" borderId="10" xfId="0" quotePrefix="1" applyNumberFormat="1" applyFont="1" applyFill="1" applyBorder="1" applyAlignment="1">
      <alignment horizontal="center" vertical="center"/>
    </xf>
    <xf numFmtId="0" fontId="29" fillId="2" borderId="0" xfId="1" applyFont="1" applyFill="1" applyAlignment="1">
      <alignment vertical="center"/>
    </xf>
    <xf numFmtId="0" fontId="29" fillId="2" borderId="51" xfId="1" applyFont="1" applyFill="1" applyBorder="1" applyAlignment="1">
      <alignment vertical="center"/>
    </xf>
    <xf numFmtId="0" fontId="27" fillId="7" borderId="10" xfId="1" applyFont="1" applyFill="1" applyBorder="1" applyAlignment="1">
      <alignment horizontal="center" vertical="center"/>
    </xf>
    <xf numFmtId="0" fontId="33" fillId="7" borderId="10" xfId="0" applyFont="1" applyFill="1" applyBorder="1" applyAlignment="1">
      <alignment horizontal="center" vertical="center" wrapText="1"/>
    </xf>
    <xf numFmtId="2" fontId="23" fillId="7" borderId="10" xfId="0" applyNumberFormat="1" applyFont="1" applyFill="1" applyBorder="1" applyAlignment="1">
      <alignment horizontal="center" vertical="center"/>
    </xf>
    <xf numFmtId="0" fontId="33" fillId="7" borderId="24" xfId="0" applyFont="1" applyFill="1" applyBorder="1" applyAlignment="1">
      <alignment horizontal="center" vertical="center" wrapText="1"/>
    </xf>
    <xf numFmtId="2" fontId="23" fillId="7" borderId="24" xfId="0" applyNumberFormat="1" applyFont="1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23" fillId="2" borderId="0" xfId="0" applyFont="1" applyFill="1" applyAlignment="1">
      <alignment horizontal="center" vertical="center" wrapText="1"/>
    </xf>
    <xf numFmtId="0" fontId="33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23" fillId="2" borderId="16" xfId="0" applyFont="1" applyFill="1" applyBorder="1" applyAlignment="1">
      <alignment horizontal="center" vertical="center"/>
    </xf>
    <xf numFmtId="164" fontId="23" fillId="2" borderId="0" xfId="0" applyNumberFormat="1" applyFont="1" applyFill="1" applyAlignment="1">
      <alignment horizontal="center" vertical="center"/>
    </xf>
    <xf numFmtId="0" fontId="33" fillId="2" borderId="0" xfId="0" applyFont="1" applyFill="1" applyAlignment="1">
      <alignment horizontal="center" vertical="center"/>
    </xf>
    <xf numFmtId="2" fontId="33" fillId="2" borderId="0" xfId="0" applyNumberFormat="1" applyFont="1" applyFill="1" applyAlignment="1">
      <alignment horizontal="center" vertical="center"/>
    </xf>
    <xf numFmtId="164" fontId="33" fillId="2" borderId="0" xfId="0" applyNumberFormat="1" applyFont="1" applyFill="1" applyAlignment="1">
      <alignment horizontal="center" vertical="center"/>
    </xf>
    <xf numFmtId="0" fontId="33" fillId="2" borderId="0" xfId="1" applyFont="1" applyFill="1" applyAlignment="1">
      <alignment vertical="center" wrapText="1"/>
    </xf>
    <xf numFmtId="0" fontId="0" fillId="6" borderId="0" xfId="0" applyFill="1"/>
    <xf numFmtId="2" fontId="23" fillId="2" borderId="10" xfId="0" applyNumberFormat="1" applyFont="1" applyFill="1" applyBorder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2" fontId="23" fillId="2" borderId="16" xfId="0" applyNumberFormat="1" applyFont="1" applyFill="1" applyBorder="1" applyAlignment="1">
      <alignment horizontal="center" vertical="center"/>
    </xf>
    <xf numFmtId="0" fontId="23" fillId="2" borderId="16" xfId="0" applyFont="1" applyFill="1" applyBorder="1"/>
    <xf numFmtId="0" fontId="33" fillId="2" borderId="26" xfId="0" applyFont="1" applyFill="1" applyBorder="1" applyAlignment="1">
      <alignment horizontal="center" vertical="center"/>
    </xf>
    <xf numFmtId="0" fontId="33" fillId="2" borderId="10" xfId="0" applyFont="1" applyFill="1" applyBorder="1" applyAlignment="1">
      <alignment horizontal="center"/>
    </xf>
    <xf numFmtId="0" fontId="33" fillId="2" borderId="28" xfId="0" applyFont="1" applyFill="1" applyBorder="1" applyAlignment="1">
      <alignment horizontal="center"/>
    </xf>
    <xf numFmtId="2" fontId="33" fillId="2" borderId="28" xfId="0" applyNumberFormat="1" applyFont="1" applyFill="1" applyBorder="1" applyAlignment="1">
      <alignment horizontal="center"/>
    </xf>
    <xf numFmtId="0" fontId="33" fillId="2" borderId="0" xfId="0" applyFont="1" applyFill="1" applyAlignment="1">
      <alignment horizontal="center"/>
    </xf>
    <xf numFmtId="2" fontId="33" fillId="2" borderId="0" xfId="0" applyNumberFormat="1" applyFont="1" applyFill="1" applyAlignment="1">
      <alignment horizontal="center"/>
    </xf>
    <xf numFmtId="2" fontId="33" fillId="2" borderId="26" xfId="0" applyNumberFormat="1" applyFont="1" applyFill="1" applyBorder="1" applyAlignment="1">
      <alignment horizontal="center" vertical="center"/>
    </xf>
    <xf numFmtId="164" fontId="33" fillId="2" borderId="10" xfId="0" applyNumberFormat="1" applyFont="1" applyFill="1" applyBorder="1" applyAlignment="1">
      <alignment horizontal="center"/>
    </xf>
    <xf numFmtId="164" fontId="33" fillId="2" borderId="0" xfId="0" applyNumberFormat="1" applyFont="1" applyFill="1" applyAlignment="1">
      <alignment horizontal="center"/>
    </xf>
    <xf numFmtId="0" fontId="33" fillId="2" borderId="29" xfId="0" applyFont="1" applyFill="1" applyBorder="1" applyAlignment="1">
      <alignment horizontal="center" vertical="center"/>
    </xf>
    <xf numFmtId="0" fontId="33" fillId="2" borderId="32" xfId="0" applyFont="1" applyFill="1" applyBorder="1" applyAlignment="1">
      <alignment horizontal="center"/>
    </xf>
    <xf numFmtId="0" fontId="33" fillId="2" borderId="30" xfId="0" applyFont="1" applyFill="1" applyBorder="1" applyAlignment="1">
      <alignment horizontal="center"/>
    </xf>
    <xf numFmtId="2" fontId="33" fillId="2" borderId="30" xfId="0" applyNumberFormat="1" applyFont="1" applyFill="1" applyBorder="1" applyAlignment="1">
      <alignment horizontal="center"/>
    </xf>
    <xf numFmtId="2" fontId="35" fillId="2" borderId="10" xfId="0" applyNumberFormat="1" applyFont="1" applyFill="1" applyBorder="1" applyAlignment="1">
      <alignment horizontal="center" vertical="center"/>
    </xf>
    <xf numFmtId="2" fontId="35" fillId="2" borderId="32" xfId="0" applyNumberFormat="1" applyFont="1" applyFill="1" applyBorder="1" applyAlignment="1">
      <alignment horizontal="center" vertical="center"/>
    </xf>
    <xf numFmtId="0" fontId="13" fillId="2" borderId="34" xfId="0" applyFont="1" applyFill="1" applyBorder="1" applyAlignment="1">
      <alignment vertical="center"/>
    </xf>
    <xf numFmtId="0" fontId="13" fillId="2" borderId="35" xfId="0" applyFont="1" applyFill="1" applyBorder="1" applyAlignment="1">
      <alignment vertical="center"/>
    </xf>
    <xf numFmtId="0" fontId="13" fillId="2" borderId="58" xfId="0" applyFont="1" applyFill="1" applyBorder="1" applyAlignment="1">
      <alignment vertical="center"/>
    </xf>
    <xf numFmtId="0" fontId="38" fillId="0" borderId="10" xfId="0" applyFont="1" applyBorder="1"/>
    <xf numFmtId="0" fontId="0" fillId="2" borderId="0" xfId="0" applyFill="1" applyAlignment="1">
      <alignment horizontal="center" vertical="center"/>
    </xf>
    <xf numFmtId="0" fontId="14" fillId="2" borderId="0" xfId="0" quotePrefix="1" applyFont="1" applyFill="1" applyAlignment="1" applyProtection="1">
      <alignment horizontal="left"/>
      <protection locked="0"/>
    </xf>
    <xf numFmtId="0" fontId="1" fillId="0" borderId="0" xfId="0" applyFont="1"/>
    <xf numFmtId="0" fontId="1" fillId="0" borderId="0" xfId="0" applyFont="1" applyAlignment="1">
      <alignment horizontal="center"/>
    </xf>
    <xf numFmtId="0" fontId="30" fillId="0" borderId="0" xfId="0" applyFont="1"/>
    <xf numFmtId="172" fontId="41" fillId="0" borderId="10" xfId="0" applyNumberFormat="1" applyFont="1" applyBorder="1" applyAlignment="1">
      <alignment horizontal="center" vertical="center"/>
    </xf>
    <xf numFmtId="0" fontId="41" fillId="0" borderId="9" xfId="0" applyFont="1" applyBorder="1" applyAlignment="1">
      <alignment horizontal="center" vertical="center" wrapText="1"/>
    </xf>
    <xf numFmtId="171" fontId="41" fillId="0" borderId="8" xfId="0" applyNumberFormat="1" applyFont="1" applyBorder="1" applyAlignment="1">
      <alignment horizontal="right" vertical="center" wrapText="1"/>
    </xf>
    <xf numFmtId="0" fontId="41" fillId="0" borderId="14" xfId="0" applyFont="1" applyBorder="1" applyAlignment="1">
      <alignment horizontal="center" vertical="center" wrapText="1"/>
    </xf>
    <xf numFmtId="174" fontId="41" fillId="0" borderId="13" xfId="0" applyNumberFormat="1" applyFont="1" applyBorder="1" applyAlignment="1">
      <alignment horizontal="left" vertical="center" wrapText="1"/>
    </xf>
    <xf numFmtId="0" fontId="0" fillId="8" borderId="28" xfId="0" applyFill="1" applyBorder="1" applyAlignment="1">
      <alignment horizontal="center" vertical="center" wrapText="1"/>
    </xf>
    <xf numFmtId="0" fontId="20" fillId="2" borderId="0" xfId="0" applyFont="1" applyFill="1" applyAlignment="1">
      <alignment horizontal="center" vertical="center"/>
    </xf>
    <xf numFmtId="0" fontId="0" fillId="8" borderId="23" xfId="0" applyFill="1" applyBorder="1" applyAlignment="1">
      <alignment horizontal="center" vertical="center" wrapText="1"/>
    </xf>
    <xf numFmtId="0" fontId="31" fillId="7" borderId="24" xfId="0" applyFont="1" applyFill="1" applyBorder="1" applyAlignment="1">
      <alignment horizontal="center" vertical="center"/>
    </xf>
    <xf numFmtId="0" fontId="31" fillId="7" borderId="10" xfId="0" applyFont="1" applyFill="1" applyBorder="1" applyAlignment="1">
      <alignment horizontal="center" vertical="center"/>
    </xf>
    <xf numFmtId="0" fontId="20" fillId="2" borderId="10" xfId="0" applyFont="1" applyFill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33" fillId="2" borderId="16" xfId="0" applyFont="1" applyFill="1" applyBorder="1" applyAlignment="1">
      <alignment horizontal="center" vertical="center"/>
    </xf>
    <xf numFmtId="164" fontId="23" fillId="0" borderId="0" xfId="0" applyNumberFormat="1" applyFont="1"/>
    <xf numFmtId="0" fontId="0" fillId="0" borderId="40" xfId="0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2" fontId="0" fillId="0" borderId="8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2" fontId="1" fillId="0" borderId="31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 vertical="center"/>
    </xf>
    <xf numFmtId="164" fontId="0" fillId="0" borderId="31" xfId="0" applyNumberForma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164" fontId="1" fillId="0" borderId="32" xfId="0" applyNumberFormat="1" applyFont="1" applyBorder="1" applyAlignment="1">
      <alignment horizontal="center" vertical="center"/>
    </xf>
    <xf numFmtId="0" fontId="32" fillId="0" borderId="16" xfId="0" applyFont="1" applyBorder="1"/>
    <xf numFmtId="0" fontId="27" fillId="0" borderId="19" xfId="0" applyFont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27" fillId="0" borderId="20" xfId="0" applyFont="1" applyBorder="1" applyAlignment="1">
      <alignment horizontal="center"/>
    </xf>
    <xf numFmtId="2" fontId="27" fillId="0" borderId="20" xfId="0" applyNumberFormat="1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3" fillId="0" borderId="16" xfId="0" applyFont="1" applyBorder="1" applyAlignment="1">
      <alignment horizontal="left"/>
    </xf>
    <xf numFmtId="0" fontId="23" fillId="0" borderId="10" xfId="0" applyFont="1" applyBorder="1" applyAlignment="1">
      <alignment horizontal="center"/>
    </xf>
    <xf numFmtId="0" fontId="23" fillId="0" borderId="0" xfId="0" applyFont="1" applyAlignment="1">
      <alignment horizontal="center"/>
    </xf>
    <xf numFmtId="2" fontId="23" fillId="0" borderId="4" xfId="0" applyNumberFormat="1" applyFont="1" applyBorder="1" applyAlignment="1">
      <alignment horizontal="center"/>
    </xf>
    <xf numFmtId="2" fontId="23" fillId="0" borderId="0" xfId="0" applyNumberFormat="1" applyFont="1" applyAlignment="1">
      <alignment horizontal="center"/>
    </xf>
    <xf numFmtId="167" fontId="23" fillId="0" borderId="0" xfId="0" applyNumberFormat="1" applyFont="1" applyAlignment="1">
      <alignment horizontal="center"/>
    </xf>
    <xf numFmtId="0" fontId="23" fillId="0" borderId="4" xfId="0" applyFont="1" applyBorder="1" applyAlignment="1">
      <alignment horizontal="center"/>
    </xf>
    <xf numFmtId="11" fontId="23" fillId="0" borderId="4" xfId="0" applyNumberFormat="1" applyFont="1" applyBorder="1" applyAlignment="1">
      <alignment horizontal="center"/>
    </xf>
    <xf numFmtId="11" fontId="23" fillId="0" borderId="51" xfId="0" applyNumberFormat="1" applyFont="1" applyBorder="1" applyAlignment="1">
      <alignment horizontal="center"/>
    </xf>
    <xf numFmtId="0" fontId="23" fillId="0" borderId="40" xfId="0" applyFont="1" applyBorder="1" applyAlignment="1">
      <alignment horizontal="left"/>
    </xf>
    <xf numFmtId="0" fontId="23" fillId="0" borderId="12" xfId="0" applyFont="1" applyBorder="1" applyAlignment="1">
      <alignment horizontal="center"/>
    </xf>
    <xf numFmtId="2" fontId="23" fillId="0" borderId="6" xfId="0" applyNumberFormat="1" applyFont="1" applyBorder="1" applyAlignment="1">
      <alignment horizontal="center"/>
    </xf>
    <xf numFmtId="167" fontId="23" fillId="0" borderId="12" xfId="0" applyNumberFormat="1" applyFont="1" applyBorder="1" applyAlignment="1">
      <alignment horizontal="center"/>
    </xf>
    <xf numFmtId="11" fontId="23" fillId="0" borderId="10" xfId="0" applyNumberFormat="1" applyFont="1" applyBorder="1" applyAlignment="1">
      <alignment horizontal="center"/>
    </xf>
    <xf numFmtId="11" fontId="23" fillId="0" borderId="27" xfId="0" applyNumberFormat="1" applyFont="1" applyBorder="1" applyAlignment="1">
      <alignment horizontal="center"/>
    </xf>
    <xf numFmtId="0" fontId="23" fillId="0" borderId="26" xfId="0" applyFont="1" applyBorder="1" applyAlignment="1">
      <alignment horizontal="left"/>
    </xf>
    <xf numFmtId="2" fontId="23" fillId="0" borderId="10" xfId="0" applyNumberFormat="1" applyFont="1" applyBorder="1" applyAlignment="1">
      <alignment horizontal="center"/>
    </xf>
    <xf numFmtId="167" fontId="23" fillId="0" borderId="10" xfId="0" applyNumberFormat="1" applyFont="1" applyBorder="1" applyAlignment="1">
      <alignment horizontal="center"/>
    </xf>
    <xf numFmtId="11" fontId="23" fillId="0" borderId="28" xfId="0" applyNumberFormat="1" applyFont="1" applyBorder="1" applyAlignment="1">
      <alignment horizontal="center"/>
    </xf>
    <xf numFmtId="0" fontId="23" fillId="0" borderId="40" xfId="0" applyFont="1" applyBorder="1"/>
    <xf numFmtId="164" fontId="23" fillId="0" borderId="5" xfId="0" applyNumberFormat="1" applyFont="1" applyBorder="1" applyAlignment="1">
      <alignment horizontal="center"/>
    </xf>
    <xf numFmtId="2" fontId="23" fillId="0" borderId="7" xfId="0" applyNumberFormat="1" applyFont="1" applyBorder="1" applyAlignment="1">
      <alignment horizontal="center"/>
    </xf>
    <xf numFmtId="0" fontId="27" fillId="0" borderId="16" xfId="0" applyFont="1" applyBorder="1"/>
    <xf numFmtId="2" fontId="30" fillId="0" borderId="0" xfId="0" applyNumberFormat="1" applyFont="1"/>
    <xf numFmtId="11" fontId="23" fillId="0" borderId="3" xfId="0" applyNumberFormat="1" applyFont="1" applyBorder="1" applyAlignment="1">
      <alignment horizontal="center"/>
    </xf>
    <xf numFmtId="11" fontId="23" fillId="0" borderId="39" xfId="0" applyNumberFormat="1" applyFont="1" applyBorder="1" applyAlignment="1">
      <alignment horizontal="center"/>
    </xf>
    <xf numFmtId="0" fontId="27" fillId="0" borderId="40" xfId="0" applyFont="1" applyBorder="1"/>
    <xf numFmtId="0" fontId="28" fillId="0" borderId="12" xfId="0" applyFont="1" applyBorder="1"/>
    <xf numFmtId="2" fontId="28" fillId="0" borderId="12" xfId="0" applyNumberFormat="1" applyFont="1" applyBorder="1"/>
    <xf numFmtId="0" fontId="52" fillId="0" borderId="12" xfId="0" applyFont="1" applyBorder="1"/>
    <xf numFmtId="166" fontId="39" fillId="0" borderId="8" xfId="0" applyNumberFormat="1" applyFont="1" applyBorder="1" applyAlignment="1">
      <alignment horizontal="center"/>
    </xf>
    <xf numFmtId="0" fontId="39" fillId="0" borderId="27" xfId="0" applyFont="1" applyBorder="1"/>
    <xf numFmtId="0" fontId="28" fillId="0" borderId="0" xfId="0" applyFont="1"/>
    <xf numFmtId="2" fontId="28" fillId="0" borderId="0" xfId="0" applyNumberFormat="1" applyFont="1"/>
    <xf numFmtId="0" fontId="53" fillId="0" borderId="0" xfId="0" applyFont="1"/>
    <xf numFmtId="11" fontId="39" fillId="0" borderId="3" xfId="0" applyNumberFormat="1" applyFont="1" applyBorder="1" applyAlignment="1">
      <alignment horizontal="center"/>
    </xf>
    <xf numFmtId="0" fontId="39" fillId="0" borderId="51" xfId="0" applyFont="1" applyBorder="1"/>
    <xf numFmtId="0" fontId="39" fillId="0" borderId="12" xfId="0" applyFont="1" applyBorder="1"/>
    <xf numFmtId="164" fontId="48" fillId="0" borderId="8" xfId="0" applyNumberFormat="1" applyFont="1" applyBorder="1" applyAlignment="1">
      <alignment horizontal="center"/>
    </xf>
    <xf numFmtId="0" fontId="27" fillId="0" borderId="53" xfId="0" applyFont="1" applyBorder="1"/>
    <xf numFmtId="0" fontId="28" fillId="0" borderId="54" xfId="0" applyFont="1" applyBorder="1"/>
    <xf numFmtId="2" fontId="28" fillId="0" borderId="54" xfId="0" applyNumberFormat="1" applyFont="1" applyBorder="1"/>
    <xf numFmtId="0" fontId="39" fillId="0" borderId="54" xfId="0" applyFont="1" applyBorder="1"/>
    <xf numFmtId="0" fontId="0" fillId="0" borderId="16" xfId="0" applyBorder="1"/>
    <xf numFmtId="2" fontId="23" fillId="0" borderId="5" xfId="0" applyNumberFormat="1" applyFont="1" applyBorder="1" applyAlignment="1">
      <alignment horizontal="center"/>
    </xf>
    <xf numFmtId="0" fontId="27" fillId="0" borderId="42" xfId="0" applyFont="1" applyBorder="1"/>
    <xf numFmtId="0" fontId="28" fillId="0" borderId="61" xfId="0" applyFont="1" applyBorder="1"/>
    <xf numFmtId="2" fontId="28" fillId="0" borderId="61" xfId="0" applyNumberFormat="1" applyFont="1" applyBorder="1"/>
    <xf numFmtId="0" fontId="39" fillId="0" borderId="61" xfId="0" applyFont="1" applyBorder="1"/>
    <xf numFmtId="0" fontId="39" fillId="0" borderId="0" xfId="0" applyFont="1"/>
    <xf numFmtId="164" fontId="23" fillId="0" borderId="4" xfId="0" applyNumberFormat="1" applyFont="1" applyBorder="1" applyAlignment="1">
      <alignment horizontal="center"/>
    </xf>
    <xf numFmtId="164" fontId="23" fillId="0" borderId="2" xfId="0" applyNumberFormat="1" applyFont="1" applyBorder="1" applyAlignment="1">
      <alignment horizontal="center"/>
    </xf>
    <xf numFmtId="164" fontId="23" fillId="0" borderId="10" xfId="0" applyNumberFormat="1" applyFont="1" applyBorder="1" applyAlignment="1">
      <alignment horizontal="center"/>
    </xf>
    <xf numFmtId="172" fontId="41" fillId="0" borderId="0" xfId="0" applyNumberFormat="1" applyFont="1" applyAlignment="1">
      <alignment horizontal="center" vertical="center"/>
    </xf>
    <xf numFmtId="0" fontId="56" fillId="0" borderId="0" xfId="0" applyFont="1" applyAlignment="1">
      <alignment vertical="center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horizontal="left" vertical="center"/>
    </xf>
    <xf numFmtId="0" fontId="43" fillId="0" borderId="0" xfId="0" applyFont="1" applyAlignment="1">
      <alignment vertical="center"/>
    </xf>
    <xf numFmtId="169" fontId="56" fillId="0" borderId="0" xfId="0" applyNumberFormat="1" applyFont="1" applyAlignment="1">
      <alignment vertical="center"/>
    </xf>
    <xf numFmtId="0" fontId="56" fillId="0" borderId="10" xfId="0" quotePrefix="1" applyFont="1" applyBorder="1" applyAlignment="1">
      <alignment horizontal="center" vertical="center"/>
    </xf>
    <xf numFmtId="0" fontId="56" fillId="0" borderId="12" xfId="0" applyFont="1" applyBorder="1" applyAlignment="1">
      <alignment vertical="center"/>
    </xf>
    <xf numFmtId="0" fontId="56" fillId="0" borderId="9" xfId="0" applyFont="1" applyBorder="1" applyAlignment="1">
      <alignment horizontal="left" vertical="center"/>
    </xf>
    <xf numFmtId="0" fontId="56" fillId="0" borderId="12" xfId="0" applyFont="1" applyBorder="1" applyAlignment="1">
      <alignment horizontal="right" vertical="center"/>
    </xf>
    <xf numFmtId="0" fontId="43" fillId="0" borderId="0" xfId="0" applyFont="1" applyAlignment="1">
      <alignment horizontal="center" vertical="center"/>
    </xf>
    <xf numFmtId="2" fontId="56" fillId="0" borderId="0" xfId="0" applyNumberFormat="1" applyFont="1" applyAlignment="1">
      <alignment horizontal="center" vertical="center"/>
    </xf>
    <xf numFmtId="164" fontId="56" fillId="0" borderId="0" xfId="0" applyNumberFormat="1" applyFont="1" applyAlignment="1">
      <alignment horizontal="center" vertical="center"/>
    </xf>
    <xf numFmtId="0" fontId="56" fillId="0" borderId="10" xfId="0" applyFont="1" applyBorder="1" applyAlignment="1">
      <alignment horizontal="center" vertical="center"/>
    </xf>
    <xf numFmtId="173" fontId="56" fillId="0" borderId="8" xfId="0" applyNumberFormat="1" applyFont="1" applyBorder="1" applyAlignment="1">
      <alignment horizontal="right" vertical="center"/>
    </xf>
    <xf numFmtId="175" fontId="56" fillId="0" borderId="8" xfId="0" applyNumberFormat="1" applyFont="1" applyBorder="1" applyAlignment="1">
      <alignment horizontal="right" vertical="center"/>
    </xf>
    <xf numFmtId="1" fontId="35" fillId="6" borderId="26" xfId="0" applyNumberFormat="1" applyFont="1" applyFill="1" applyBorder="1" applyAlignment="1">
      <alignment horizontal="center" vertical="center"/>
    </xf>
    <xf numFmtId="1" fontId="35" fillId="6" borderId="29" xfId="0" applyNumberFormat="1" applyFont="1" applyFill="1" applyBorder="1" applyAlignment="1">
      <alignment horizontal="center" vertical="center"/>
    </xf>
    <xf numFmtId="0" fontId="41" fillId="0" borderId="10" xfId="0" applyFont="1" applyBorder="1" applyAlignment="1">
      <alignment horizontal="center" vertical="center"/>
    </xf>
    <xf numFmtId="0" fontId="41" fillId="0" borderId="5" xfId="0" applyFont="1" applyBorder="1" applyAlignment="1">
      <alignment horizontal="center" vertical="center"/>
    </xf>
    <xf numFmtId="0" fontId="49" fillId="0" borderId="10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1" fillId="0" borderId="45" xfId="0" applyFont="1" applyBorder="1" applyAlignment="1">
      <alignment vertical="center"/>
    </xf>
    <xf numFmtId="0" fontId="41" fillId="0" borderId="18" xfId="0" applyFont="1" applyBorder="1" applyAlignment="1">
      <alignment vertical="center"/>
    </xf>
    <xf numFmtId="0" fontId="49" fillId="0" borderId="0" xfId="0" applyFont="1" applyAlignment="1">
      <alignment vertical="center"/>
    </xf>
    <xf numFmtId="0" fontId="62" fillId="0" borderId="0" xfId="0" applyFont="1" applyAlignment="1">
      <alignment vertical="center"/>
    </xf>
    <xf numFmtId="0" fontId="41" fillId="0" borderId="17" xfId="0" applyFont="1" applyBorder="1" applyAlignment="1">
      <alignment vertical="center"/>
    </xf>
    <xf numFmtId="0" fontId="49" fillId="0" borderId="8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center" wrapText="1"/>
    </xf>
    <xf numFmtId="164" fontId="41" fillId="0" borderId="0" xfId="0" applyNumberFormat="1" applyFont="1" applyAlignment="1">
      <alignment horizontal="center" vertical="center"/>
    </xf>
    <xf numFmtId="0" fontId="63" fillId="0" borderId="0" xfId="0" quotePrefix="1" applyFont="1" applyAlignment="1">
      <alignment horizontal="center" vertical="center" wrapText="1"/>
    </xf>
    <xf numFmtId="0" fontId="49" fillId="0" borderId="0" xfId="0" applyFont="1" applyAlignment="1">
      <alignment horizontal="center" vertical="center"/>
    </xf>
    <xf numFmtId="2" fontId="41" fillId="0" borderId="0" xfId="0" applyNumberFormat="1" applyFont="1" applyAlignment="1">
      <alignment horizontal="center" vertical="center"/>
    </xf>
    <xf numFmtId="167" fontId="41" fillId="0" borderId="0" xfId="0" applyNumberFormat="1" applyFont="1" applyAlignment="1">
      <alignment horizontal="center" vertical="center"/>
    </xf>
    <xf numFmtId="1" fontId="41" fillId="0" borderId="10" xfId="0" applyNumberFormat="1" applyFont="1" applyBorder="1" applyAlignment="1">
      <alignment horizontal="center" vertical="center"/>
    </xf>
    <xf numFmtId="1" fontId="41" fillId="0" borderId="0" xfId="0" applyNumberFormat="1" applyFont="1" applyAlignment="1">
      <alignment horizontal="center" vertical="center"/>
    </xf>
    <xf numFmtId="0" fontId="63" fillId="0" borderId="0" xfId="0" quotePrefix="1" applyFont="1" applyAlignment="1">
      <alignment horizontal="center" vertical="center"/>
    </xf>
    <xf numFmtId="0" fontId="49" fillId="0" borderId="0" xfId="0" applyFont="1" applyAlignment="1">
      <alignment horizontal="left" vertical="center"/>
    </xf>
    <xf numFmtId="0" fontId="41" fillId="0" borderId="0" xfId="0" applyFont="1" applyAlignment="1">
      <alignment horizontal="right" vertical="center"/>
    </xf>
    <xf numFmtId="0" fontId="41" fillId="0" borderId="0" xfId="0" applyFont="1" applyAlignment="1">
      <alignment horizontal="left" vertical="center"/>
    </xf>
    <xf numFmtId="0" fontId="41" fillId="0" borderId="45" xfId="0" applyFont="1" applyBorder="1" applyAlignment="1">
      <alignment horizontal="center" vertical="center"/>
    </xf>
    <xf numFmtId="0" fontId="41" fillId="0" borderId="45" xfId="0" applyFont="1" applyBorder="1" applyAlignment="1">
      <alignment horizontal="right" vertical="center"/>
    </xf>
    <xf numFmtId="0" fontId="41" fillId="0" borderId="2" xfId="0" applyFont="1" applyBorder="1" applyAlignment="1">
      <alignment vertical="center"/>
    </xf>
    <xf numFmtId="0" fontId="41" fillId="0" borderId="5" xfId="0" applyFont="1" applyBorder="1" applyAlignment="1">
      <alignment vertical="center"/>
    </xf>
    <xf numFmtId="0" fontId="41" fillId="0" borderId="8" xfId="2" applyFont="1" applyBorder="1" applyAlignment="1">
      <alignment vertical="center"/>
    </xf>
    <xf numFmtId="0" fontId="41" fillId="0" borderId="12" xfId="0" applyFont="1" applyBorder="1" applyAlignment="1">
      <alignment horizontal="right"/>
    </xf>
    <xf numFmtId="0" fontId="49" fillId="0" borderId="12" xfId="0" applyFont="1" applyBorder="1" applyAlignment="1">
      <alignment horizontal="center" vertical="center"/>
    </xf>
    <xf numFmtId="0" fontId="49" fillId="0" borderId="9" xfId="0" applyFont="1" applyBorder="1" applyAlignment="1">
      <alignment horizontal="center" vertical="center"/>
    </xf>
    <xf numFmtId="0" fontId="49" fillId="0" borderId="2" xfId="0" applyFont="1" applyBorder="1" applyAlignment="1">
      <alignment horizontal="center" vertical="center"/>
    </xf>
    <xf numFmtId="0" fontId="41" fillId="0" borderId="0" xfId="0" applyFont="1" applyAlignment="1" applyProtection="1">
      <alignment vertical="center"/>
      <protection locked="0"/>
    </xf>
    <xf numFmtId="0" fontId="49" fillId="0" borderId="0" xfId="0" applyFont="1" applyAlignment="1" applyProtection="1">
      <alignment vertical="center"/>
      <protection locked="0"/>
    </xf>
    <xf numFmtId="0" fontId="41" fillId="0" borderId="0" xfId="0" applyFont="1" applyAlignment="1" applyProtection="1">
      <alignment horizontal="left" vertical="center"/>
      <protection locked="0"/>
    </xf>
    <xf numFmtId="2" fontId="41" fillId="0" borderId="0" xfId="0" applyNumberFormat="1" applyFont="1" applyAlignment="1" applyProtection="1">
      <alignment horizontal="center" vertical="center"/>
      <protection locked="0"/>
    </xf>
    <xf numFmtId="2" fontId="41" fillId="0" borderId="10" xfId="0" applyNumberFormat="1" applyFont="1" applyBorder="1" applyAlignment="1">
      <alignment horizontal="center" vertical="center"/>
    </xf>
    <xf numFmtId="0" fontId="41" fillId="0" borderId="0" xfId="0" applyFont="1" applyAlignment="1" applyProtection="1">
      <alignment horizontal="center" vertical="center"/>
      <protection locked="0"/>
    </xf>
    <xf numFmtId="0" fontId="49" fillId="0" borderId="0" xfId="0" applyFont="1" applyAlignment="1" applyProtection="1">
      <alignment horizontal="left" vertical="center"/>
      <protection locked="0"/>
    </xf>
    <xf numFmtId="0" fontId="16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170" fontId="41" fillId="0" borderId="0" xfId="0" applyNumberFormat="1" applyFont="1" applyAlignment="1">
      <alignment vertical="center"/>
    </xf>
    <xf numFmtId="0" fontId="49" fillId="0" borderId="10" xfId="0" applyFont="1" applyBorder="1" applyAlignment="1" applyProtection="1">
      <alignment horizontal="center" vertical="center" wrapText="1"/>
      <protection hidden="1"/>
    </xf>
    <xf numFmtId="1" fontId="41" fillId="3" borderId="10" xfId="0" applyNumberFormat="1" applyFont="1" applyFill="1" applyBorder="1" applyAlignment="1" applyProtection="1">
      <alignment horizontal="center"/>
      <protection hidden="1"/>
    </xf>
    <xf numFmtId="0" fontId="41" fillId="0" borderId="10" xfId="0" quotePrefix="1" applyFont="1" applyBorder="1" applyAlignment="1">
      <alignment horizontal="center" vertical="center"/>
    </xf>
    <xf numFmtId="0" fontId="41" fillId="0" borderId="8" xfId="0" applyFont="1" applyBorder="1" applyAlignment="1">
      <alignment vertical="center"/>
    </xf>
    <xf numFmtId="0" fontId="41" fillId="0" borderId="12" xfId="0" applyFont="1" applyBorder="1" applyAlignment="1">
      <alignment vertical="center"/>
    </xf>
    <xf numFmtId="171" fontId="41" fillId="0" borderId="12" xfId="0" applyNumberFormat="1" applyFont="1" applyBorder="1" applyAlignment="1">
      <alignment horizontal="right" vertical="center"/>
    </xf>
    <xf numFmtId="0" fontId="41" fillId="0" borderId="9" xfId="0" applyFont="1" applyBorder="1" applyAlignment="1">
      <alignment horizontal="left" vertical="center"/>
    </xf>
    <xf numFmtId="1" fontId="41" fillId="3" borderId="10" xfId="0" applyNumberFormat="1" applyFont="1" applyFill="1" applyBorder="1" applyAlignment="1" applyProtection="1">
      <alignment horizontal="center" vertical="center"/>
      <protection hidden="1"/>
    </xf>
    <xf numFmtId="173" fontId="41" fillId="0" borderId="12" xfId="0" applyNumberFormat="1" applyFont="1" applyBorder="1" applyAlignment="1">
      <alignment horizontal="right" vertical="center"/>
    </xf>
    <xf numFmtId="175" fontId="41" fillId="0" borderId="12" xfId="0" applyNumberFormat="1" applyFont="1" applyBorder="1" applyAlignment="1">
      <alignment horizontal="right" vertical="center"/>
    </xf>
    <xf numFmtId="164" fontId="41" fillId="0" borderId="0" xfId="3" applyNumberFormat="1" applyFont="1" applyBorder="1" applyAlignment="1" applyProtection="1">
      <alignment horizontal="center" vertical="center"/>
    </xf>
    <xf numFmtId="165" fontId="41" fillId="3" borderId="10" xfId="0" applyNumberFormat="1" applyFont="1" applyFill="1" applyBorder="1" applyAlignment="1">
      <alignment horizontal="center" vertical="center"/>
    </xf>
    <xf numFmtId="180" fontId="41" fillId="0" borderId="10" xfId="0" applyNumberFormat="1" applyFont="1" applyBorder="1" applyAlignment="1">
      <alignment horizontal="center" vertical="center"/>
    </xf>
    <xf numFmtId="181" fontId="41" fillId="0" borderId="10" xfId="0" applyNumberFormat="1" applyFont="1" applyBorder="1" applyAlignment="1">
      <alignment horizontal="center" vertical="center"/>
    </xf>
    <xf numFmtId="182" fontId="41" fillId="0" borderId="10" xfId="0" applyNumberFormat="1" applyFont="1" applyBorder="1" applyAlignment="1">
      <alignment horizontal="center" vertical="center"/>
    </xf>
    <xf numFmtId="0" fontId="41" fillId="0" borderId="10" xfId="0" applyFont="1" applyBorder="1" applyAlignment="1">
      <alignment horizontal="center"/>
    </xf>
    <xf numFmtId="0" fontId="41" fillId="0" borderId="12" xfId="0" applyFont="1" applyBorder="1"/>
    <xf numFmtId="0" fontId="62" fillId="0" borderId="12" xfId="0" quotePrefix="1" applyFont="1" applyBorder="1" applyAlignment="1">
      <alignment horizontal="left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49" fillId="0" borderId="3" xfId="0" applyFont="1" applyBorder="1" applyAlignment="1" applyProtection="1">
      <alignment vertical="center" wrapText="1"/>
      <protection hidden="1"/>
    </xf>
    <xf numFmtId="0" fontId="55" fillId="0" borderId="0" xfId="0" applyFont="1" applyAlignment="1">
      <alignment vertical="center"/>
    </xf>
    <xf numFmtId="164" fontId="56" fillId="0" borderId="0" xfId="3" applyNumberFormat="1" applyFont="1" applyBorder="1" applyAlignment="1" applyProtection="1">
      <alignment horizontal="center" vertical="center"/>
    </xf>
    <xf numFmtId="166" fontId="56" fillId="0" borderId="0" xfId="0" applyNumberFormat="1" applyFont="1" applyAlignment="1">
      <alignment horizontal="center" vertical="center"/>
    </xf>
    <xf numFmtId="0" fontId="35" fillId="0" borderId="0" xfId="0" applyFont="1" applyAlignment="1">
      <alignment vertical="center"/>
    </xf>
    <xf numFmtId="0" fontId="35" fillId="0" borderId="0" xfId="0" applyFont="1" applyAlignment="1">
      <alignment horizontal="right"/>
    </xf>
    <xf numFmtId="0" fontId="59" fillId="0" borderId="0" xfId="0" applyFont="1"/>
    <xf numFmtId="0" fontId="56" fillId="2" borderId="0" xfId="2" applyFont="1" applyFill="1" applyAlignment="1">
      <alignment vertical="center"/>
    </xf>
    <xf numFmtId="0" fontId="56" fillId="0" borderId="0" xfId="2" applyFont="1" applyAlignment="1">
      <alignment vertical="center"/>
    </xf>
    <xf numFmtId="0" fontId="43" fillId="2" borderId="0" xfId="2" applyFont="1" applyFill="1" applyAlignment="1">
      <alignment vertical="center"/>
    </xf>
    <xf numFmtId="0" fontId="60" fillId="0" borderId="0" xfId="0" applyFont="1"/>
    <xf numFmtId="167" fontId="28" fillId="0" borderId="3" xfId="0" applyNumberFormat="1" applyFont="1" applyBorder="1" applyAlignment="1">
      <alignment horizontal="center"/>
    </xf>
    <xf numFmtId="164" fontId="28" fillId="0" borderId="51" xfId="0" applyNumberFormat="1" applyFont="1" applyBorder="1"/>
    <xf numFmtId="165" fontId="28" fillId="0" borderId="8" xfId="0" applyNumberFormat="1" applyFont="1" applyBorder="1" applyAlignment="1">
      <alignment horizontal="center" vertical="center"/>
    </xf>
    <xf numFmtId="0" fontId="32" fillId="0" borderId="9" xfId="0" applyFont="1" applyBorder="1"/>
    <xf numFmtId="167" fontId="28" fillId="0" borderId="1" xfId="0" applyNumberFormat="1" applyFont="1" applyBorder="1" applyAlignment="1">
      <alignment horizontal="center"/>
    </xf>
    <xf numFmtId="164" fontId="28" fillId="0" borderId="65" xfId="0" applyNumberFormat="1" applyFont="1" applyBorder="1"/>
    <xf numFmtId="165" fontId="28" fillId="0" borderId="8" xfId="0" applyNumberFormat="1" applyFont="1" applyBorder="1" applyAlignment="1">
      <alignment horizontal="center"/>
    </xf>
    <xf numFmtId="164" fontId="28" fillId="0" borderId="9" xfId="0" applyNumberFormat="1" applyFont="1" applyBorder="1"/>
    <xf numFmtId="165" fontId="13" fillId="0" borderId="8" xfId="0" applyNumberFormat="1" applyFont="1" applyBorder="1" applyAlignment="1">
      <alignment horizontal="center" vertical="center"/>
    </xf>
    <xf numFmtId="0" fontId="13" fillId="0" borderId="9" xfId="0" applyFont="1" applyBorder="1"/>
    <xf numFmtId="175" fontId="41" fillId="0" borderId="12" xfId="0" applyNumberFormat="1" applyFont="1" applyBorder="1" applyAlignment="1">
      <alignment horizontal="right"/>
    </xf>
    <xf numFmtId="0" fontId="56" fillId="0" borderId="0" xfId="0" quotePrefix="1" applyFont="1" applyAlignment="1">
      <alignment horizontal="center" vertical="center"/>
    </xf>
    <xf numFmtId="0" fontId="41" fillId="0" borderId="0" xfId="0" applyFont="1" applyAlignment="1" applyProtection="1">
      <alignment horizontal="left"/>
      <protection locked="0"/>
    </xf>
    <xf numFmtId="0" fontId="33" fillId="7" borderId="5" xfId="0" applyFont="1" applyFill="1" applyBorder="1" applyAlignment="1">
      <alignment horizontal="center" vertical="center" wrapText="1"/>
    </xf>
    <xf numFmtId="2" fontId="23" fillId="7" borderId="5" xfId="0" applyNumberFormat="1" applyFont="1" applyFill="1" applyBorder="1" applyAlignment="1">
      <alignment horizontal="center" vertical="center"/>
    </xf>
    <xf numFmtId="2" fontId="35" fillId="0" borderId="10" xfId="0" applyNumberFormat="1" applyFont="1" applyBorder="1" applyAlignment="1">
      <alignment horizontal="center" vertical="center"/>
    </xf>
    <xf numFmtId="2" fontId="39" fillId="2" borderId="10" xfId="5" applyNumberFormat="1" applyFont="1" applyFill="1" applyBorder="1" applyAlignment="1">
      <alignment horizontal="center" vertical="center"/>
    </xf>
    <xf numFmtId="2" fontId="1" fillId="2" borderId="10" xfId="5" applyNumberFormat="1" applyFill="1" applyBorder="1" applyAlignment="1">
      <alignment horizontal="center" vertical="center"/>
    </xf>
    <xf numFmtId="2" fontId="33" fillId="2" borderId="10" xfId="5" applyNumberFormat="1" applyFont="1" applyFill="1" applyBorder="1" applyAlignment="1">
      <alignment horizontal="center" vertical="center"/>
    </xf>
    <xf numFmtId="164" fontId="39" fillId="2" borderId="10" xfId="5" applyNumberFormat="1" applyFont="1" applyFill="1" applyBorder="1" applyAlignment="1">
      <alignment horizontal="center" vertical="center"/>
    </xf>
    <xf numFmtId="0" fontId="41" fillId="0" borderId="0" xfId="0" applyFont="1"/>
    <xf numFmtId="0" fontId="41" fillId="0" borderId="0" xfId="4" applyFont="1" applyAlignment="1">
      <alignment vertical="center"/>
    </xf>
    <xf numFmtId="0" fontId="32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86" fontId="0" fillId="0" borderId="10" xfId="0" applyNumberFormat="1" applyBorder="1" applyAlignment="1">
      <alignment horizontal="center" vertical="center"/>
    </xf>
    <xf numFmtId="0" fontId="49" fillId="0" borderId="2" xfId="0" applyFont="1" applyBorder="1" applyAlignment="1" applyProtection="1">
      <alignment horizontal="center" vertical="center" wrapText="1"/>
      <protection hidden="1"/>
    </xf>
    <xf numFmtId="0" fontId="0" fillId="0" borderId="10" xfId="0" applyBorder="1"/>
    <xf numFmtId="0" fontId="67" fillId="0" borderId="0" xfId="0" applyFont="1"/>
    <xf numFmtId="0" fontId="41" fillId="0" borderId="10" xfId="0" applyFont="1" applyBorder="1" applyAlignment="1">
      <alignment vertical="center"/>
    </xf>
    <xf numFmtId="164" fontId="1" fillId="2" borderId="10" xfId="0" applyNumberFormat="1" applyFont="1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2" fontId="23" fillId="2" borderId="10" xfId="0" applyNumberFormat="1" applyFont="1" applyFill="1" applyBorder="1" applyAlignment="1">
      <alignment horizontal="center"/>
    </xf>
    <xf numFmtId="2" fontId="23" fillId="2" borderId="3" xfId="0" applyNumberFormat="1" applyFont="1" applyFill="1" applyBorder="1" applyAlignment="1">
      <alignment horizontal="center" vertical="center"/>
    </xf>
    <xf numFmtId="2" fontId="23" fillId="2" borderId="39" xfId="0" applyNumberFormat="1" applyFont="1" applyFill="1" applyBorder="1" applyAlignment="1">
      <alignment horizontal="center" vertical="center"/>
    </xf>
    <xf numFmtId="0" fontId="23" fillId="2" borderId="54" xfId="0" applyFont="1" applyFill="1" applyBorder="1"/>
    <xf numFmtId="0" fontId="49" fillId="0" borderId="10" xfId="0" applyFont="1" applyBorder="1" applyAlignment="1">
      <alignment vertical="center"/>
    </xf>
    <xf numFmtId="0" fontId="49" fillId="0" borderId="10" xfId="0" applyFont="1" applyBorder="1" applyAlignment="1">
      <alignment horizontal="center" vertical="center" wrapText="1"/>
    </xf>
    <xf numFmtId="0" fontId="41" fillId="0" borderId="72" xfId="0" applyFont="1" applyBorder="1" applyAlignment="1">
      <alignment horizontal="center" vertical="center"/>
    </xf>
    <xf numFmtId="2" fontId="41" fillId="0" borderId="45" xfId="0" applyNumberFormat="1" applyFont="1" applyBorder="1" applyAlignment="1">
      <alignment horizontal="center" vertical="center"/>
    </xf>
    <xf numFmtId="0" fontId="41" fillId="0" borderId="18" xfId="0" applyFont="1" applyBorder="1" applyAlignment="1">
      <alignment horizontal="right" vertical="center"/>
    </xf>
    <xf numFmtId="2" fontId="41" fillId="0" borderId="18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41" fillId="0" borderId="10" xfId="0" applyFont="1" applyBorder="1" applyAlignment="1">
      <alignment horizontal="center" vertical="center" wrapText="1"/>
    </xf>
    <xf numFmtId="185" fontId="41" fillId="0" borderId="10" xfId="0" applyNumberFormat="1" applyFont="1" applyBorder="1" applyAlignment="1">
      <alignment horizontal="center" vertical="center"/>
    </xf>
    <xf numFmtId="0" fontId="2" fillId="0" borderId="8" xfId="2" applyBorder="1" applyAlignment="1">
      <alignment vertical="center"/>
    </xf>
    <xf numFmtId="0" fontId="7" fillId="0" borderId="11" xfId="0" applyFont="1" applyBorder="1" applyAlignment="1">
      <alignment vertical="center"/>
    </xf>
    <xf numFmtId="0" fontId="0" fillId="0" borderId="12" xfId="0" applyBorder="1"/>
    <xf numFmtId="0" fontId="0" fillId="0" borderId="9" xfId="0" applyBorder="1"/>
    <xf numFmtId="184" fontId="0" fillId="0" borderId="10" xfId="0" applyNumberFormat="1" applyBorder="1" applyAlignment="1">
      <alignment horizontal="center"/>
    </xf>
    <xf numFmtId="0" fontId="7" fillId="0" borderId="9" xfId="0" applyFont="1" applyBorder="1" applyAlignment="1">
      <alignment vertical="center"/>
    </xf>
    <xf numFmtId="0" fontId="2" fillId="0" borderId="13" xfId="2" applyBorder="1" applyAlignment="1">
      <alignment vertical="center"/>
    </xf>
    <xf numFmtId="0" fontId="0" fillId="0" borderId="7" xfId="0" applyBorder="1"/>
    <xf numFmtId="0" fontId="0" fillId="0" borderId="14" xfId="0" applyBorder="1"/>
    <xf numFmtId="0" fontId="1" fillId="2" borderId="5" xfId="0" applyFont="1" applyFill="1" applyBorder="1" applyAlignment="1">
      <alignment vertical="center"/>
    </xf>
    <xf numFmtId="0" fontId="0" fillId="0" borderId="5" xfId="0" applyBorder="1"/>
    <xf numFmtId="183" fontId="0" fillId="0" borderId="10" xfId="0" applyNumberFormat="1" applyBorder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0" fontId="41" fillId="3" borderId="10" xfId="0" applyFont="1" applyFill="1" applyBorder="1" applyAlignment="1">
      <alignment horizontal="center" vertical="center"/>
    </xf>
    <xf numFmtId="165" fontId="7" fillId="0" borderId="0" xfId="0" applyNumberFormat="1" applyFont="1" applyAlignment="1">
      <alignment vertical="center"/>
    </xf>
    <xf numFmtId="0" fontId="63" fillId="0" borderId="0" xfId="0" quotePrefix="1" applyFont="1" applyAlignment="1">
      <alignment vertical="center"/>
    </xf>
    <xf numFmtId="166" fontId="41" fillId="0" borderId="0" xfId="0" applyNumberFormat="1" applyFont="1" applyAlignment="1">
      <alignment horizontal="center" vertical="center"/>
    </xf>
    <xf numFmtId="0" fontId="41" fillId="0" borderId="12" xfId="0" applyFont="1" applyBorder="1" applyAlignment="1">
      <alignment horizontal="left" vertical="center"/>
    </xf>
    <xf numFmtId="0" fontId="41" fillId="0" borderId="9" xfId="0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40" fillId="0" borderId="34" xfId="0" applyFont="1" applyBorder="1"/>
    <xf numFmtId="0" fontId="38" fillId="0" borderId="35" xfId="0" applyFont="1" applyBorder="1" applyAlignment="1">
      <alignment horizontal="center" vertical="center"/>
    </xf>
    <xf numFmtId="0" fontId="38" fillId="0" borderId="35" xfId="0" applyFont="1" applyBorder="1"/>
    <xf numFmtId="0" fontId="38" fillId="0" borderId="36" xfId="0" applyFont="1" applyBorder="1"/>
    <xf numFmtId="0" fontId="38" fillId="0" borderId="47" xfId="0" applyFont="1" applyBorder="1"/>
    <xf numFmtId="0" fontId="38" fillId="0" borderId="7" xfId="0" applyFont="1" applyBorder="1"/>
    <xf numFmtId="0" fontId="38" fillId="0" borderId="7" xfId="0" applyFont="1" applyBorder="1" applyAlignment="1">
      <alignment horizontal="center" vertical="center"/>
    </xf>
    <xf numFmtId="0" fontId="38" fillId="0" borderId="14" xfId="0" applyFont="1" applyBorder="1"/>
    <xf numFmtId="0" fontId="38" fillId="0" borderId="44" xfId="0" applyFont="1" applyBorder="1" applyAlignment="1">
      <alignment horizontal="center" vertical="center"/>
    </xf>
    <xf numFmtId="0" fontId="38" fillId="0" borderId="6" xfId="0" applyFont="1" applyBorder="1"/>
    <xf numFmtId="0" fontId="38" fillId="0" borderId="6" xfId="0" applyFont="1" applyBorder="1" applyAlignment="1">
      <alignment horizontal="center" vertical="center"/>
    </xf>
    <xf numFmtId="0" fontId="38" fillId="0" borderId="11" xfId="0" applyFont="1" applyBorder="1"/>
    <xf numFmtId="0" fontId="38" fillId="0" borderId="41" xfId="0" applyFont="1" applyBorder="1" applyAlignment="1">
      <alignment horizontal="center" vertical="center"/>
    </xf>
    <xf numFmtId="0" fontId="38" fillId="0" borderId="0" xfId="0" applyFont="1"/>
    <xf numFmtId="0" fontId="38" fillId="0" borderId="62" xfId="0" applyFont="1" applyBorder="1" applyAlignment="1">
      <alignment horizontal="center" vertical="center"/>
    </xf>
    <xf numFmtId="0" fontId="38" fillId="2" borderId="52" xfId="0" quotePrefix="1" applyFont="1" applyFill="1" applyBorder="1" applyAlignment="1">
      <alignment vertical="center"/>
    </xf>
    <xf numFmtId="0" fontId="38" fillId="0" borderId="59" xfId="0" applyFont="1" applyBorder="1"/>
    <xf numFmtId="0" fontId="38" fillId="0" borderId="63" xfId="0" applyFont="1" applyBorder="1" applyAlignment="1">
      <alignment horizontal="center" vertical="center"/>
    </xf>
    <xf numFmtId="0" fontId="38" fillId="2" borderId="64" xfId="0" quotePrefix="1" applyFont="1" applyFill="1" applyBorder="1" applyAlignment="1">
      <alignment vertical="center"/>
    </xf>
    <xf numFmtId="0" fontId="38" fillId="0" borderId="65" xfId="0" applyFont="1" applyBorder="1"/>
    <xf numFmtId="0" fontId="40" fillId="0" borderId="35" xfId="0" applyFont="1" applyBorder="1" applyAlignment="1">
      <alignment horizontal="center" vertical="center"/>
    </xf>
    <xf numFmtId="0" fontId="40" fillId="0" borderId="35" xfId="0" applyFont="1" applyBorder="1"/>
    <xf numFmtId="0" fontId="40" fillId="0" borderId="58" xfId="0" applyFont="1" applyBorder="1"/>
    <xf numFmtId="0" fontId="38" fillId="0" borderId="0" xfId="0" applyFont="1" applyAlignment="1">
      <alignment horizontal="center" vertical="center"/>
    </xf>
    <xf numFmtId="168" fontId="41" fillId="0" borderId="0" xfId="0" applyNumberFormat="1" applyFont="1" applyAlignment="1">
      <alignment vertical="center"/>
    </xf>
    <xf numFmtId="165" fontId="41" fillId="0" borderId="10" xfId="0" applyNumberFormat="1" applyFont="1" applyBorder="1" applyAlignment="1">
      <alignment horizontal="center" vertical="center"/>
    </xf>
    <xf numFmtId="168" fontId="56" fillId="0" borderId="0" xfId="0" applyNumberFormat="1" applyFont="1" applyAlignment="1">
      <alignment vertical="center"/>
    </xf>
    <xf numFmtId="0" fontId="43" fillId="0" borderId="0" xfId="0" applyFont="1" applyAlignment="1" applyProtection="1">
      <alignment horizontal="left" vertical="center"/>
      <protection locked="0"/>
    </xf>
    <xf numFmtId="0" fontId="56" fillId="0" borderId="0" xfId="0" applyFont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/>
      <protection locked="0"/>
    </xf>
    <xf numFmtId="0" fontId="43" fillId="0" borderId="0" xfId="0" applyFont="1" applyAlignment="1" applyProtection="1">
      <alignment vertical="center"/>
      <protection locked="0"/>
    </xf>
    <xf numFmtId="2" fontId="56" fillId="0" borderId="0" xfId="0" applyNumberFormat="1" applyFont="1" applyAlignment="1" applyProtection="1">
      <alignment horizontal="center" vertical="center"/>
      <protection locked="0"/>
    </xf>
    <xf numFmtId="0" fontId="56" fillId="0" borderId="0" xfId="0" applyFont="1" applyAlignment="1" applyProtection="1">
      <alignment horizontal="left" vertical="center"/>
      <protection locked="0"/>
    </xf>
    <xf numFmtId="0" fontId="56" fillId="0" borderId="0" xfId="0" applyFont="1" applyAlignment="1" applyProtection="1">
      <alignment vertical="center"/>
      <protection locked="0"/>
    </xf>
    <xf numFmtId="0" fontId="43" fillId="0" borderId="0" xfId="2" applyFont="1" applyAlignment="1" applyProtection="1">
      <alignment vertical="center"/>
      <protection locked="0"/>
    </xf>
    <xf numFmtId="0" fontId="56" fillId="0" borderId="0" xfId="2" applyFont="1" applyAlignment="1" applyProtection="1">
      <alignment vertical="center"/>
      <protection locked="0"/>
    </xf>
    <xf numFmtId="0" fontId="35" fillId="0" borderId="0" xfId="0" applyFont="1" applyAlignment="1" applyProtection="1">
      <alignment horizontal="right"/>
      <protection locked="0"/>
    </xf>
    <xf numFmtId="0" fontId="49" fillId="0" borderId="0" xfId="0" applyFont="1" applyAlignment="1" applyProtection="1">
      <alignment horizontal="right" vertical="center"/>
      <protection locked="0"/>
    </xf>
    <xf numFmtId="0" fontId="27" fillId="0" borderId="40" xfId="5" applyFont="1" applyBorder="1" applyAlignment="1">
      <alignment horizontal="center" vertical="center"/>
    </xf>
    <xf numFmtId="0" fontId="20" fillId="6" borderId="8" xfId="0" applyFont="1" applyFill="1" applyBorder="1" applyAlignment="1">
      <alignment horizontal="center" vertical="center"/>
    </xf>
    <xf numFmtId="1" fontId="1" fillId="0" borderId="10" xfId="0" applyNumberFormat="1" applyFont="1" applyBorder="1" applyAlignment="1">
      <alignment horizontal="center" vertical="center"/>
    </xf>
    <xf numFmtId="2" fontId="1" fillId="0" borderId="10" xfId="0" quotePrefix="1" applyNumberFormat="1" applyFont="1" applyBorder="1" applyAlignment="1">
      <alignment horizontal="center" vertical="center"/>
    </xf>
    <xf numFmtId="2" fontId="0" fillId="0" borderId="40" xfId="0" applyNumberFormat="1" applyBorder="1" applyAlignment="1">
      <alignment horizontal="center" vertical="center"/>
    </xf>
    <xf numFmtId="2" fontId="0" fillId="0" borderId="42" xfId="0" applyNumberForma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2" fontId="1" fillId="0" borderId="28" xfId="0" applyNumberFormat="1" applyFont="1" applyBorder="1" applyAlignment="1">
      <alignment horizontal="center" vertical="center"/>
    </xf>
    <xf numFmtId="2" fontId="23" fillId="2" borderId="1" xfId="0" applyNumberFormat="1" applyFont="1" applyFill="1" applyBorder="1" applyAlignment="1">
      <alignment horizontal="center" vertical="center"/>
    </xf>
    <xf numFmtId="2" fontId="23" fillId="2" borderId="6" xfId="0" applyNumberFormat="1" applyFont="1" applyFill="1" applyBorder="1" applyAlignment="1">
      <alignment horizontal="center" vertical="center"/>
    </xf>
    <xf numFmtId="165" fontId="35" fillId="0" borderId="10" xfId="0" applyNumberFormat="1" applyFont="1" applyBorder="1" applyAlignment="1">
      <alignment horizontal="center"/>
    </xf>
    <xf numFmtId="2" fontId="23" fillId="2" borderId="5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" fontId="35" fillId="6" borderId="22" xfId="0" applyNumberFormat="1" applyFont="1" applyFill="1" applyBorder="1" applyAlignment="1">
      <alignment horizontal="center" vertical="center"/>
    </xf>
    <xf numFmtId="2" fontId="35" fillId="2" borderId="24" xfId="0" applyNumberFormat="1" applyFont="1" applyFill="1" applyBorder="1" applyAlignment="1">
      <alignment horizontal="center" vertical="center"/>
    </xf>
    <xf numFmtId="0" fontId="35" fillId="0" borderId="10" xfId="0" applyFont="1" applyBorder="1" applyAlignment="1">
      <alignment horizontal="center" vertical="center"/>
    </xf>
    <xf numFmtId="0" fontId="34" fillId="2" borderId="10" xfId="1" applyFont="1" applyFill="1" applyBorder="1" applyAlignment="1">
      <alignment horizontal="center" vertical="center" wrapText="1"/>
    </xf>
    <xf numFmtId="0" fontId="34" fillId="2" borderId="0" xfId="1" applyFont="1" applyFill="1" applyAlignment="1">
      <alignment vertical="center" wrapText="1"/>
    </xf>
    <xf numFmtId="0" fontId="34" fillId="2" borderId="0" xfId="1" applyFont="1" applyFill="1" applyAlignment="1">
      <alignment horizontal="center" vertical="center" wrapText="1"/>
    </xf>
    <xf numFmtId="0" fontId="68" fillId="2" borderId="10" xfId="0" applyFont="1" applyFill="1" applyBorder="1" applyAlignment="1">
      <alignment horizontal="center" vertical="center"/>
    </xf>
    <xf numFmtId="0" fontId="68" fillId="2" borderId="10" xfId="1" applyFont="1" applyFill="1" applyBorder="1" applyAlignment="1">
      <alignment horizontal="center" vertical="center"/>
    </xf>
    <xf numFmtId="1" fontId="35" fillId="2" borderId="10" xfId="0" applyNumberFormat="1" applyFont="1" applyFill="1" applyBorder="1" applyAlignment="1">
      <alignment horizontal="center" vertical="center"/>
    </xf>
    <xf numFmtId="165" fontId="35" fillId="6" borderId="24" xfId="0" applyNumberFormat="1" applyFont="1" applyFill="1" applyBorder="1" applyAlignment="1">
      <alignment horizontal="center" vertical="center"/>
    </xf>
    <xf numFmtId="165" fontId="35" fillId="6" borderId="10" xfId="0" applyNumberFormat="1" applyFont="1" applyFill="1" applyBorder="1" applyAlignment="1">
      <alignment horizontal="center" vertical="center"/>
    </xf>
    <xf numFmtId="165" fontId="35" fillId="6" borderId="32" xfId="0" applyNumberFormat="1" applyFont="1" applyFill="1" applyBorder="1" applyAlignment="1">
      <alignment horizontal="center" vertical="center"/>
    </xf>
    <xf numFmtId="165" fontId="35" fillId="0" borderId="24" xfId="0" applyNumberFormat="1" applyFont="1" applyBorder="1" applyAlignment="1">
      <alignment horizontal="center"/>
    </xf>
    <xf numFmtId="165" fontId="35" fillId="0" borderId="32" xfId="0" applyNumberFormat="1" applyFont="1" applyBorder="1" applyAlignment="1">
      <alignment horizontal="center"/>
    </xf>
    <xf numFmtId="1" fontId="32" fillId="6" borderId="10" xfId="0" applyNumberFormat="1" applyFont="1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 wrapText="1"/>
    </xf>
    <xf numFmtId="2" fontId="23" fillId="7" borderId="0" xfId="0" applyNumberFormat="1" applyFont="1" applyFill="1" applyAlignment="1">
      <alignment horizontal="center" vertical="center"/>
    </xf>
    <xf numFmtId="0" fontId="33" fillId="7" borderId="73" xfId="0" applyFont="1" applyFill="1" applyBorder="1" applyAlignment="1">
      <alignment horizontal="center" vertical="center" wrapText="1"/>
    </xf>
    <xf numFmtId="0" fontId="33" fillId="7" borderId="9" xfId="0" applyFont="1" applyFill="1" applyBorder="1" applyAlignment="1">
      <alignment horizontal="center" vertical="center" wrapText="1"/>
    </xf>
    <xf numFmtId="0" fontId="33" fillId="7" borderId="14" xfId="0" applyFont="1" applyFill="1" applyBorder="1" applyAlignment="1">
      <alignment horizontal="center" vertical="center" wrapText="1"/>
    </xf>
    <xf numFmtId="0" fontId="69" fillId="0" borderId="0" xfId="0" applyFont="1" applyAlignment="1">
      <alignment horizontal="center" vertical="center"/>
    </xf>
    <xf numFmtId="2" fontId="23" fillId="7" borderId="25" xfId="0" applyNumberFormat="1" applyFont="1" applyFill="1" applyBorder="1" applyAlignment="1">
      <alignment horizontal="center" vertical="center"/>
    </xf>
    <xf numFmtId="2" fontId="23" fillId="7" borderId="8" xfId="0" applyNumberFormat="1" applyFont="1" applyFill="1" applyBorder="1" applyAlignment="1">
      <alignment horizontal="center" vertical="center"/>
    </xf>
    <xf numFmtId="0" fontId="0" fillId="8" borderId="41" xfId="0" applyFill="1" applyBorder="1" applyAlignment="1">
      <alignment horizontal="center" vertical="center" wrapText="1"/>
    </xf>
    <xf numFmtId="0" fontId="0" fillId="8" borderId="75" xfId="0" applyFill="1" applyBorder="1" applyAlignment="1">
      <alignment horizontal="center" vertical="center"/>
    </xf>
    <xf numFmtId="0" fontId="0" fillId="8" borderId="75" xfId="0" applyFill="1" applyBorder="1" applyAlignment="1">
      <alignment horizontal="center" vertical="center" wrapText="1"/>
    </xf>
    <xf numFmtId="0" fontId="0" fillId="8" borderId="68" xfId="0" applyFill="1" applyBorder="1" applyAlignment="1">
      <alignment horizontal="center" vertical="center" wrapText="1"/>
    </xf>
    <xf numFmtId="0" fontId="0" fillId="8" borderId="69" xfId="0" applyFill="1" applyBorder="1" applyAlignment="1">
      <alignment horizontal="center" vertical="center" wrapText="1"/>
    </xf>
    <xf numFmtId="0" fontId="33" fillId="7" borderId="33" xfId="0" applyFont="1" applyFill="1" applyBorder="1" applyAlignment="1">
      <alignment horizontal="center" vertical="center" wrapText="1"/>
    </xf>
    <xf numFmtId="2" fontId="23" fillId="7" borderId="54" xfId="0" applyNumberFormat="1" applyFont="1" applyFill="1" applyBorder="1" applyAlignment="1">
      <alignment horizontal="center" vertical="center"/>
    </xf>
    <xf numFmtId="0" fontId="51" fillId="0" borderId="0" xfId="0" applyFont="1" applyAlignment="1">
      <alignment vertical="center"/>
    </xf>
    <xf numFmtId="0" fontId="41" fillId="0" borderId="0" xfId="1" applyFont="1" applyAlignment="1">
      <alignment vertical="center"/>
    </xf>
    <xf numFmtId="0" fontId="43" fillId="0" borderId="5" xfId="0" applyFont="1" applyBorder="1" applyAlignment="1">
      <alignment horizontal="center" vertical="center"/>
    </xf>
    <xf numFmtId="0" fontId="43" fillId="0" borderId="2" xfId="0" applyFon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23" fillId="2" borderId="0" xfId="0" applyNumberFormat="1" applyFont="1" applyFill="1"/>
    <xf numFmtId="2" fontId="1" fillId="2" borderId="0" xfId="0" applyNumberFormat="1" applyFont="1" applyFill="1"/>
    <xf numFmtId="2" fontId="0" fillId="0" borderId="0" xfId="0" applyNumberFormat="1"/>
    <xf numFmtId="2" fontId="0" fillId="0" borderId="49" xfId="0" applyNumberFormat="1" applyBorder="1"/>
    <xf numFmtId="2" fontId="0" fillId="2" borderId="0" xfId="0" applyNumberFormat="1" applyFill="1"/>
    <xf numFmtId="2" fontId="20" fillId="2" borderId="10" xfId="0" applyNumberFormat="1" applyFont="1" applyFill="1" applyBorder="1" applyAlignment="1">
      <alignment horizontal="center" vertical="center"/>
    </xf>
    <xf numFmtId="2" fontId="20" fillId="2" borderId="0" xfId="0" applyNumberFormat="1" applyFont="1" applyFill="1" applyAlignment="1">
      <alignment horizontal="center" vertical="center"/>
    </xf>
    <xf numFmtId="2" fontId="20" fillId="6" borderId="10" xfId="0" applyNumberFormat="1" applyFont="1" applyFill="1" applyBorder="1" applyAlignment="1">
      <alignment horizontal="center" vertical="center"/>
    </xf>
    <xf numFmtId="2" fontId="27" fillId="2" borderId="10" xfId="5" applyNumberFormat="1" applyFont="1" applyFill="1" applyBorder="1" applyAlignment="1">
      <alignment horizontal="center" vertical="center"/>
    </xf>
    <xf numFmtId="2" fontId="20" fillId="6" borderId="10" xfId="0" quotePrefix="1" applyNumberFormat="1" applyFont="1" applyFill="1" applyBorder="1" applyAlignment="1">
      <alignment horizontal="center" vertical="center"/>
    </xf>
    <xf numFmtId="2" fontId="23" fillId="0" borderId="0" xfId="0" applyNumberFormat="1" applyFont="1"/>
    <xf numFmtId="2" fontId="0" fillId="0" borderId="51" xfId="0" applyNumberFormat="1" applyBorder="1"/>
    <xf numFmtId="2" fontId="33" fillId="2" borderId="0" xfId="0" applyNumberFormat="1" applyFont="1" applyFill="1" applyAlignment="1">
      <alignment horizontal="center" vertical="center" wrapText="1"/>
    </xf>
    <xf numFmtId="2" fontId="31" fillId="2" borderId="10" xfId="0" applyNumberFormat="1" applyFont="1" applyFill="1" applyBorder="1" applyAlignment="1">
      <alignment horizontal="center" vertical="center"/>
    </xf>
    <xf numFmtId="2" fontId="23" fillId="2" borderId="16" xfId="0" applyNumberFormat="1" applyFont="1" applyFill="1" applyBorder="1"/>
    <xf numFmtId="2" fontId="33" fillId="2" borderId="10" xfId="0" applyNumberFormat="1" applyFont="1" applyFill="1" applyBorder="1" applyAlignment="1">
      <alignment horizontal="center"/>
    </xf>
    <xf numFmtId="2" fontId="1" fillId="0" borderId="0" xfId="0" applyNumberFormat="1" applyFont="1"/>
    <xf numFmtId="2" fontId="23" fillId="0" borderId="0" xfId="0" applyNumberFormat="1" applyFont="1" applyAlignment="1">
      <alignment horizontal="center" vertical="center"/>
    </xf>
    <xf numFmtId="2" fontId="38" fillId="0" borderId="0" xfId="0" applyNumberFormat="1" applyFont="1"/>
    <xf numFmtId="2" fontId="38" fillId="0" borderId="12" xfId="0" applyNumberFormat="1" applyFont="1" applyBorder="1"/>
    <xf numFmtId="2" fontId="38" fillId="0" borderId="27" xfId="0" applyNumberFormat="1" applyFont="1" applyBorder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2" fontId="33" fillId="2" borderId="10" xfId="0" applyNumberFormat="1" applyFont="1" applyFill="1" applyBorder="1" applyAlignment="1">
      <alignment horizontal="center" vertical="center" wrapText="1"/>
    </xf>
    <xf numFmtId="2" fontId="0" fillId="2" borderId="10" xfId="0" applyNumberFormat="1" applyFill="1" applyBorder="1"/>
    <xf numFmtId="2" fontId="33" fillId="2" borderId="24" xfId="0" applyNumberFormat="1" applyFont="1" applyFill="1" applyBorder="1" applyAlignment="1">
      <alignment horizontal="center" vertical="center" wrapText="1"/>
    </xf>
    <xf numFmtId="2" fontId="32" fillId="9" borderId="26" xfId="0" applyNumberFormat="1" applyFont="1" applyFill="1" applyBorder="1" applyAlignment="1">
      <alignment horizontal="center" vertical="center"/>
    </xf>
    <xf numFmtId="2" fontId="32" fillId="6" borderId="28" xfId="0" applyNumberFormat="1" applyFont="1" applyFill="1" applyBorder="1" applyAlignment="1">
      <alignment horizontal="center" vertical="center"/>
    </xf>
    <xf numFmtId="2" fontId="32" fillId="0" borderId="10" xfId="0" applyNumberFormat="1" applyFont="1" applyBorder="1" applyAlignment="1">
      <alignment horizontal="center" vertical="center"/>
    </xf>
    <xf numFmtId="2" fontId="1" fillId="9" borderId="10" xfId="0" applyNumberFormat="1" applyFont="1" applyFill="1" applyBorder="1" applyAlignment="1">
      <alignment horizontal="center"/>
    </xf>
    <xf numFmtId="2" fontId="1" fillId="6" borderId="10" xfId="0" applyNumberFormat="1" applyFont="1" applyFill="1" applyBorder="1" applyAlignment="1">
      <alignment vertical="center"/>
    </xf>
    <xf numFmtId="2" fontId="0" fillId="6" borderId="10" xfId="0" applyNumberFormat="1" applyFill="1" applyBorder="1"/>
    <xf numFmtId="2" fontId="32" fillId="9" borderId="29" xfId="0" applyNumberFormat="1" applyFont="1" applyFill="1" applyBorder="1" applyAlignment="1">
      <alignment horizontal="center" vertical="center"/>
    </xf>
    <xf numFmtId="2" fontId="32" fillId="6" borderId="30" xfId="0" applyNumberFormat="1" applyFont="1" applyFill="1" applyBorder="1" applyAlignment="1">
      <alignment horizontal="center" vertical="center"/>
    </xf>
    <xf numFmtId="2" fontId="0" fillId="6" borderId="10" xfId="0" applyNumberFormat="1" applyFill="1" applyBorder="1" applyAlignment="1">
      <alignment horizontal="center"/>
    </xf>
    <xf numFmtId="2" fontId="1" fillId="6" borderId="10" xfId="0" quotePrefix="1" applyNumberFormat="1" applyFont="1" applyFill="1" applyBorder="1" applyAlignment="1">
      <alignment horizontal="center"/>
    </xf>
    <xf numFmtId="2" fontId="0" fillId="0" borderId="16" xfId="0" applyNumberFormat="1" applyBorder="1"/>
    <xf numFmtId="2" fontId="0" fillId="0" borderId="35" xfId="0" applyNumberFormat="1" applyBorder="1"/>
    <xf numFmtId="2" fontId="1" fillId="6" borderId="10" xfId="0" applyNumberFormat="1" applyFont="1" applyFill="1" applyBorder="1"/>
    <xf numFmtId="2" fontId="1" fillId="2" borderId="0" xfId="0" quotePrefix="1" applyNumberFormat="1" applyFont="1" applyFill="1" applyAlignment="1">
      <alignment horizontal="center"/>
    </xf>
    <xf numFmtId="2" fontId="20" fillId="9" borderId="10" xfId="0" applyNumberFormat="1" applyFont="1" applyFill="1" applyBorder="1" applyAlignment="1">
      <alignment horizontal="center" vertical="center"/>
    </xf>
    <xf numFmtId="2" fontId="1" fillId="6" borderId="10" xfId="0" applyNumberFormat="1" applyFont="1" applyFill="1" applyBorder="1" applyAlignment="1">
      <alignment horizontal="center"/>
    </xf>
    <xf numFmtId="2" fontId="0" fillId="0" borderId="16" xfId="0" applyNumberFormat="1" applyBorder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2" fontId="1" fillId="0" borderId="0" xfId="0" quotePrefix="1" applyNumberFormat="1" applyFont="1" applyAlignment="1">
      <alignment horizontal="center"/>
    </xf>
    <xf numFmtId="2" fontId="32" fillId="6" borderId="10" xfId="0" applyNumberFormat="1" applyFont="1" applyFill="1" applyBorder="1" applyAlignment="1">
      <alignment horizontal="center" vertical="center"/>
    </xf>
    <xf numFmtId="2" fontId="32" fillId="6" borderId="0" xfId="0" applyNumberFormat="1" applyFont="1" applyFill="1" applyAlignment="1">
      <alignment horizontal="center" vertical="center"/>
    </xf>
    <xf numFmtId="2" fontId="23" fillId="5" borderId="53" xfId="0" applyNumberFormat="1" applyFont="1" applyFill="1" applyBorder="1"/>
    <xf numFmtId="2" fontId="33" fillId="2" borderId="10" xfId="5" applyNumberFormat="1" applyFont="1" applyFill="1" applyBorder="1" applyAlignment="1">
      <alignment vertical="center"/>
    </xf>
    <xf numFmtId="2" fontId="0" fillId="0" borderId="10" xfId="0" applyNumberFormat="1" applyBorder="1"/>
    <xf numFmtId="2" fontId="33" fillId="2" borderId="49" xfId="5" applyNumberFormat="1" applyFont="1" applyFill="1" applyBorder="1" applyAlignment="1">
      <alignment horizontal="center" vertical="center"/>
    </xf>
    <xf numFmtId="2" fontId="31" fillId="9" borderId="10" xfId="0" applyNumberFormat="1" applyFont="1" applyFill="1" applyBorder="1" applyAlignment="1">
      <alignment horizontal="center" vertical="center"/>
    </xf>
    <xf numFmtId="2" fontId="27" fillId="9" borderId="10" xfId="5" applyNumberFormat="1" applyFont="1" applyFill="1" applyBorder="1" applyAlignment="1">
      <alignment horizontal="center" vertical="center"/>
    </xf>
    <xf numFmtId="2" fontId="30" fillId="3" borderId="26" xfId="0" applyNumberFormat="1" applyFont="1" applyFill="1" applyBorder="1" applyAlignment="1">
      <alignment horizontal="center" vertical="center"/>
    </xf>
    <xf numFmtId="2" fontId="30" fillId="3" borderId="28" xfId="0" applyNumberFormat="1" applyFont="1" applyFill="1" applyBorder="1" applyAlignment="1">
      <alignment horizontal="center" vertical="center"/>
    </xf>
    <xf numFmtId="2" fontId="23" fillId="9" borderId="10" xfId="0" applyNumberFormat="1" applyFont="1" applyFill="1" applyBorder="1" applyAlignment="1">
      <alignment horizontal="center" vertical="center"/>
    </xf>
    <xf numFmtId="2" fontId="23" fillId="9" borderId="28" xfId="0" applyNumberFormat="1" applyFont="1" applyFill="1" applyBorder="1" applyAlignment="1">
      <alignment horizontal="center" vertical="center"/>
    </xf>
    <xf numFmtId="2" fontId="30" fillId="3" borderId="26" xfId="0" applyNumberFormat="1" applyFont="1" applyFill="1" applyBorder="1" applyAlignment="1">
      <alignment horizontal="center"/>
    </xf>
    <xf numFmtId="2" fontId="30" fillId="3" borderId="28" xfId="0" applyNumberFormat="1" applyFont="1" applyFill="1" applyBorder="1" applyAlignment="1">
      <alignment horizontal="center"/>
    </xf>
    <xf numFmtId="2" fontId="23" fillId="9" borderId="10" xfId="0" applyNumberFormat="1" applyFont="1" applyFill="1" applyBorder="1" applyAlignment="1">
      <alignment horizontal="center"/>
    </xf>
    <xf numFmtId="2" fontId="23" fillId="9" borderId="28" xfId="0" applyNumberFormat="1" applyFont="1" applyFill="1" applyBorder="1" applyAlignment="1">
      <alignment horizontal="center"/>
    </xf>
    <xf numFmtId="2" fontId="32" fillId="3" borderId="28" xfId="0" applyNumberFormat="1" applyFont="1" applyFill="1" applyBorder="1" applyAlignment="1">
      <alignment horizontal="center"/>
    </xf>
    <xf numFmtId="2" fontId="30" fillId="3" borderId="29" xfId="0" applyNumberFormat="1" applyFont="1" applyFill="1" applyBorder="1" applyAlignment="1">
      <alignment horizontal="center" vertical="center"/>
    </xf>
    <xf numFmtId="2" fontId="32" fillId="3" borderId="30" xfId="0" applyNumberFormat="1" applyFont="1" applyFill="1" applyBorder="1" applyAlignment="1">
      <alignment horizontal="center"/>
    </xf>
    <xf numFmtId="2" fontId="23" fillId="9" borderId="32" xfId="0" applyNumberFormat="1" applyFont="1" applyFill="1" applyBorder="1" applyAlignment="1">
      <alignment horizontal="center" vertical="center"/>
    </xf>
    <xf numFmtId="2" fontId="23" fillId="9" borderId="32" xfId="0" applyNumberFormat="1" applyFont="1" applyFill="1" applyBorder="1" applyAlignment="1">
      <alignment horizontal="center"/>
    </xf>
    <xf numFmtId="2" fontId="23" fillId="9" borderId="30" xfId="0" applyNumberFormat="1" applyFont="1" applyFill="1" applyBorder="1" applyAlignment="1">
      <alignment horizontal="center"/>
    </xf>
    <xf numFmtId="2" fontId="23" fillId="0" borderId="54" xfId="0" applyNumberFormat="1" applyFont="1" applyBorder="1"/>
    <xf numFmtId="2" fontId="23" fillId="2" borderId="4" xfId="0" applyNumberFormat="1" applyFont="1" applyFill="1" applyBorder="1" applyAlignment="1">
      <alignment horizontal="center" vertical="center"/>
    </xf>
    <xf numFmtId="2" fontId="23" fillId="2" borderId="4" xfId="0" applyNumberFormat="1" applyFont="1" applyFill="1" applyBorder="1" applyAlignment="1">
      <alignment horizontal="center"/>
    </xf>
    <xf numFmtId="2" fontId="23" fillId="2" borderId="39" xfId="0" applyNumberFormat="1" applyFont="1" applyFill="1" applyBorder="1" applyAlignment="1">
      <alignment horizontal="center"/>
    </xf>
    <xf numFmtId="2" fontId="23" fillId="9" borderId="24" xfId="0" applyNumberFormat="1" applyFont="1" applyFill="1" applyBorder="1" applyAlignment="1">
      <alignment horizontal="center" vertical="center"/>
    </xf>
    <xf numFmtId="2" fontId="23" fillId="9" borderId="24" xfId="0" applyNumberFormat="1" applyFont="1" applyFill="1" applyBorder="1" applyAlignment="1">
      <alignment horizontal="center"/>
    </xf>
    <xf numFmtId="2" fontId="23" fillId="9" borderId="23" xfId="0" applyNumberFormat="1" applyFont="1" applyFill="1" applyBorder="1" applyAlignment="1">
      <alignment horizontal="center"/>
    </xf>
    <xf numFmtId="2" fontId="23" fillId="0" borderId="49" xfId="0" applyNumberFormat="1" applyFont="1" applyBorder="1"/>
    <xf numFmtId="2" fontId="47" fillId="3" borderId="28" xfId="0" applyNumberFormat="1" applyFont="1" applyFill="1" applyBorder="1" applyAlignment="1">
      <alignment horizontal="center" vertical="center"/>
    </xf>
    <xf numFmtId="2" fontId="23" fillId="9" borderId="30" xfId="0" applyNumberFormat="1" applyFont="1" applyFill="1" applyBorder="1" applyAlignment="1">
      <alignment horizontal="center" vertical="center"/>
    </xf>
    <xf numFmtId="2" fontId="23" fillId="2" borderId="57" xfId="0" applyNumberFormat="1" applyFont="1" applyFill="1" applyBorder="1" applyAlignment="1">
      <alignment horizontal="center" vertical="center"/>
    </xf>
    <xf numFmtId="2" fontId="23" fillId="9" borderId="23" xfId="0" applyNumberFormat="1" applyFont="1" applyFill="1" applyBorder="1" applyAlignment="1">
      <alignment horizontal="center" vertical="center"/>
    </xf>
    <xf numFmtId="2" fontId="23" fillId="2" borderId="15" xfId="0" applyNumberFormat="1" applyFont="1" applyFill="1" applyBorder="1" applyAlignment="1">
      <alignment horizontal="center" vertical="center"/>
    </xf>
    <xf numFmtId="2" fontId="23" fillId="0" borderId="16" xfId="0" applyNumberFormat="1" applyFont="1" applyBorder="1" applyAlignment="1">
      <alignment horizontal="center" vertical="center"/>
    </xf>
    <xf numFmtId="2" fontId="33" fillId="2" borderId="49" xfId="5" applyNumberFormat="1" applyFont="1" applyFill="1" applyBorder="1" applyAlignment="1">
      <alignment horizontal="left" vertical="center" wrapText="1"/>
    </xf>
    <xf numFmtId="2" fontId="28" fillId="2" borderId="10" xfId="5" applyNumberFormat="1" applyFont="1" applyFill="1" applyBorder="1" applyAlignment="1">
      <alignment horizontal="center" vertical="center"/>
    </xf>
    <xf numFmtId="2" fontId="23" fillId="6" borderId="10" xfId="0" applyNumberFormat="1" applyFont="1" applyFill="1" applyBorder="1" applyAlignment="1">
      <alignment horizontal="center"/>
    </xf>
    <xf numFmtId="2" fontId="23" fillId="2" borderId="10" xfId="5" applyNumberFormat="1" applyFont="1" applyFill="1" applyBorder="1" applyAlignment="1">
      <alignment horizontal="center"/>
    </xf>
    <xf numFmtId="2" fontId="23" fillId="2" borderId="16" xfId="5" applyNumberFormat="1" applyFont="1" applyFill="1" applyBorder="1" applyAlignment="1">
      <alignment horizontal="center"/>
    </xf>
    <xf numFmtId="2" fontId="30" fillId="2" borderId="0" xfId="5" applyNumberFormat="1" applyFont="1" applyFill="1"/>
    <xf numFmtId="2" fontId="0" fillId="6" borderId="24" xfId="0" applyNumberFormat="1" applyFill="1" applyBorder="1"/>
    <xf numFmtId="2" fontId="0" fillId="6" borderId="23" xfId="0" applyNumberFormat="1" applyFill="1" applyBorder="1"/>
    <xf numFmtId="2" fontId="28" fillId="2" borderId="0" xfId="5" applyNumberFormat="1" applyFont="1" applyFill="1"/>
    <xf numFmtId="2" fontId="0" fillId="6" borderId="28" xfId="0" applyNumberFormat="1" applyFill="1" applyBorder="1"/>
    <xf numFmtId="2" fontId="0" fillId="6" borderId="32" xfId="0" applyNumberFormat="1" applyFill="1" applyBorder="1"/>
    <xf numFmtId="2" fontId="0" fillId="6" borderId="30" xfId="0" applyNumberFormat="1" applyFill="1" applyBorder="1"/>
    <xf numFmtId="2" fontId="33" fillId="2" borderId="0" xfId="0" applyNumberFormat="1" applyFont="1" applyFill="1" applyAlignment="1">
      <alignment vertical="center"/>
    </xf>
    <xf numFmtId="2" fontId="33" fillId="2" borderId="0" xfId="5" applyNumberFormat="1" applyFont="1" applyFill="1" applyAlignment="1">
      <alignment vertical="center"/>
    </xf>
    <xf numFmtId="2" fontId="28" fillId="2" borderId="0" xfId="5" applyNumberFormat="1" applyFont="1" applyFill="1" applyAlignment="1">
      <alignment horizontal="center"/>
    </xf>
    <xf numFmtId="2" fontId="31" fillId="2" borderId="0" xfId="0" applyNumberFormat="1" applyFont="1" applyFill="1" applyAlignment="1">
      <alignment vertical="center"/>
    </xf>
    <xf numFmtId="2" fontId="33" fillId="2" borderId="10" xfId="0" applyNumberFormat="1" applyFont="1" applyFill="1" applyBorder="1" applyAlignment="1">
      <alignment horizontal="center" vertical="center"/>
    </xf>
    <xf numFmtId="2" fontId="23" fillId="2" borderId="0" xfId="0" applyNumberFormat="1" applyFont="1" applyFill="1" applyAlignment="1">
      <alignment horizontal="center"/>
    </xf>
    <xf numFmtId="2" fontId="23" fillId="2" borderId="54" xfId="0" applyNumberFormat="1" applyFont="1" applyFill="1" applyBorder="1"/>
    <xf numFmtId="2" fontId="23" fillId="2" borderId="54" xfId="5" applyNumberFormat="1" applyFont="1" applyFill="1" applyBorder="1" applyAlignment="1">
      <alignment horizontal="center"/>
    </xf>
    <xf numFmtId="2" fontId="0" fillId="0" borderId="54" xfId="0" applyNumberFormat="1" applyBorder="1"/>
    <xf numFmtId="2" fontId="0" fillId="0" borderId="55" xfId="0" applyNumberFormat="1" applyBorder="1"/>
    <xf numFmtId="2" fontId="23" fillId="9" borderId="10" xfId="0" applyNumberFormat="1" applyFont="1" applyFill="1" applyBorder="1" applyAlignment="1">
      <alignment vertical="center"/>
    </xf>
    <xf numFmtId="2" fontId="39" fillId="2" borderId="26" xfId="5" applyNumberFormat="1" applyFont="1" applyFill="1" applyBorder="1" applyAlignment="1">
      <alignment horizontal="center" vertical="center"/>
    </xf>
    <xf numFmtId="2" fontId="7" fillId="0" borderId="28" xfId="0" applyNumberFormat="1" applyFont="1" applyBorder="1" applyAlignment="1">
      <alignment vertical="center"/>
    </xf>
    <xf numFmtId="2" fontId="56" fillId="0" borderId="28" xfId="0" applyNumberFormat="1" applyFont="1" applyBorder="1" applyAlignment="1">
      <alignment horizontal="left" vertical="center"/>
    </xf>
    <xf numFmtId="2" fontId="23" fillId="2" borderId="29" xfId="0" applyNumberFormat="1" applyFont="1" applyFill="1" applyBorder="1" applyAlignment="1">
      <alignment horizontal="center"/>
    </xf>
    <xf numFmtId="2" fontId="7" fillId="0" borderId="32" xfId="0" applyNumberFormat="1" applyFont="1" applyBorder="1" applyAlignment="1">
      <alignment horizontal="center" vertical="center"/>
    </xf>
    <xf numFmtId="2" fontId="7" fillId="0" borderId="30" xfId="0" applyNumberFormat="1" applyFont="1" applyBorder="1" applyAlignment="1">
      <alignment horizontal="center" vertical="center"/>
    </xf>
    <xf numFmtId="2" fontId="23" fillId="9" borderId="10" xfId="0" applyNumberFormat="1" applyFont="1" applyFill="1" applyBorder="1" applyAlignment="1">
      <alignment horizontal="left" vertical="center"/>
    </xf>
    <xf numFmtId="1" fontId="23" fillId="9" borderId="10" xfId="0" applyNumberFormat="1" applyFont="1" applyFill="1" applyBorder="1" applyAlignment="1">
      <alignment horizontal="center" vertical="center"/>
    </xf>
    <xf numFmtId="2" fontId="41" fillId="0" borderId="0" xfId="0" applyNumberFormat="1" applyFont="1" applyAlignment="1">
      <alignment vertical="center"/>
    </xf>
    <xf numFmtId="2" fontId="27" fillId="0" borderId="10" xfId="5" applyNumberFormat="1" applyFont="1" applyBorder="1" applyAlignment="1">
      <alignment horizontal="center" vertical="center"/>
    </xf>
    <xf numFmtId="2" fontId="20" fillId="0" borderId="10" xfId="0" applyNumberFormat="1" applyFont="1" applyBorder="1" applyAlignment="1">
      <alignment horizontal="center" vertical="center"/>
    </xf>
    <xf numFmtId="2" fontId="20" fillId="0" borderId="10" xfId="0" quotePrefix="1" applyNumberFormat="1" applyFont="1" applyBorder="1" applyAlignment="1">
      <alignment horizontal="center" vertical="center"/>
    </xf>
    <xf numFmtId="2" fontId="1" fillId="0" borderId="10" xfId="5" applyNumberForma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/>
    </xf>
    <xf numFmtId="2" fontId="0" fillId="0" borderId="10" xfId="0" quotePrefix="1" applyNumberFormat="1" applyBorder="1" applyAlignment="1">
      <alignment horizontal="center" vertical="center"/>
    </xf>
    <xf numFmtId="2" fontId="0" fillId="2" borderId="0" xfId="0" quotePrefix="1" applyNumberFormat="1" applyFill="1" applyAlignment="1">
      <alignment horizontal="center" vertical="center"/>
    </xf>
    <xf numFmtId="2" fontId="32" fillId="0" borderId="0" xfId="0" applyNumberFormat="1" applyFont="1"/>
    <xf numFmtId="164" fontId="0" fillId="0" borderId="10" xfId="0" quotePrefix="1" applyNumberFormat="1" applyBorder="1" applyAlignment="1">
      <alignment horizontal="center" vertical="center"/>
    </xf>
    <xf numFmtId="2" fontId="0" fillId="2" borderId="16" xfId="0" applyNumberFormat="1" applyFill="1" applyBorder="1"/>
    <xf numFmtId="2" fontId="0" fillId="0" borderId="5" xfId="0" quotePrefix="1" applyNumberForma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/>
    </xf>
    <xf numFmtId="2" fontId="43" fillId="2" borderId="16" xfId="0" applyNumberFormat="1" applyFont="1" applyFill="1" applyBorder="1" applyAlignment="1">
      <alignment horizontal="center" vertical="center" wrapText="1"/>
    </xf>
    <xf numFmtId="2" fontId="0" fillId="0" borderId="0" xfId="0" quotePrefix="1" applyNumberFormat="1" applyAlignment="1">
      <alignment horizontal="center" vertical="center"/>
    </xf>
    <xf numFmtId="2" fontId="43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right" vertical="center"/>
    </xf>
    <xf numFmtId="2" fontId="44" fillId="0" borderId="10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/>
    </xf>
    <xf numFmtId="164" fontId="0" fillId="0" borderId="10" xfId="0" applyNumberFormat="1" applyBorder="1" applyAlignment="1">
      <alignment horizontal="center" vertical="center"/>
    </xf>
    <xf numFmtId="2" fontId="43" fillId="2" borderId="0" xfId="0" applyNumberFormat="1" applyFont="1" applyFill="1" applyAlignment="1">
      <alignment horizontal="center" vertical="center" wrapText="1"/>
    </xf>
    <xf numFmtId="2" fontId="1" fillId="0" borderId="0" xfId="0" quotePrefix="1" applyNumberFormat="1" applyFont="1" applyAlignment="1">
      <alignment horizontal="center" vertical="center"/>
    </xf>
    <xf numFmtId="2" fontId="44" fillId="0" borderId="10" xfId="0" quotePrefix="1" applyNumberFormat="1" applyFont="1" applyBorder="1" applyAlignment="1">
      <alignment horizontal="center" vertical="center"/>
    </xf>
    <xf numFmtId="2" fontId="1" fillId="0" borderId="16" xfId="0" applyNumberFormat="1" applyFont="1" applyBorder="1"/>
    <xf numFmtId="2" fontId="1" fillId="0" borderId="0" xfId="0" applyNumberFormat="1" applyFont="1" applyAlignment="1">
      <alignment horizontal="center" vertical="center"/>
    </xf>
    <xf numFmtId="2" fontId="28" fillId="8" borderId="10" xfId="5" applyNumberFormat="1" applyFont="1" applyFill="1" applyBorder="1"/>
    <xf numFmtId="2" fontId="32" fillId="8" borderId="10" xfId="0" applyNumberFormat="1" applyFont="1" applyFill="1" applyBorder="1" applyAlignment="1">
      <alignment horizontal="center" vertical="center"/>
    </xf>
    <xf numFmtId="2" fontId="28" fillId="8" borderId="10" xfId="5" applyNumberFormat="1" applyFont="1" applyFill="1" applyBorder="1" applyAlignment="1">
      <alignment horizontal="center" vertical="center"/>
    </xf>
    <xf numFmtId="2" fontId="39" fillId="8" borderId="10" xfId="5" applyNumberFormat="1" applyFont="1" applyFill="1" applyBorder="1" applyAlignment="1">
      <alignment horizontal="center" vertical="center"/>
    </xf>
    <xf numFmtId="2" fontId="0" fillId="8" borderId="10" xfId="0" applyNumberFormat="1" applyFill="1" applyBorder="1" applyAlignment="1">
      <alignment horizontal="center"/>
    </xf>
    <xf numFmtId="2" fontId="23" fillId="8" borderId="10" xfId="5" applyNumberFormat="1" applyFont="1" applyFill="1" applyBorder="1" applyAlignment="1">
      <alignment horizontal="center" vertical="center"/>
    </xf>
    <xf numFmtId="2" fontId="1" fillId="8" borderId="10" xfId="5" applyNumberFormat="1" applyFill="1" applyBorder="1" applyAlignment="1">
      <alignment horizontal="center" vertical="center"/>
    </xf>
    <xf numFmtId="2" fontId="23" fillId="8" borderId="10" xfId="0" applyNumberFormat="1" applyFont="1" applyFill="1" applyBorder="1" applyAlignment="1">
      <alignment horizontal="center" vertical="center"/>
    </xf>
    <xf numFmtId="2" fontId="1" fillId="8" borderId="10" xfId="0" applyNumberFormat="1" applyFon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/>
    </xf>
    <xf numFmtId="2" fontId="0" fillId="8" borderId="10" xfId="0" applyNumberFormat="1" applyFill="1" applyBorder="1" applyAlignment="1">
      <alignment horizontal="center" vertical="center"/>
    </xf>
    <xf numFmtId="2" fontId="1" fillId="0" borderId="10" xfId="0" applyNumberFormat="1" applyFont="1" applyBorder="1"/>
    <xf numFmtId="2" fontId="20" fillId="8" borderId="10" xfId="0" applyNumberFormat="1" applyFont="1" applyFill="1" applyBorder="1" applyAlignment="1">
      <alignment horizontal="center" vertical="center"/>
    </xf>
    <xf numFmtId="2" fontId="27" fillId="8" borderId="10" xfId="5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2" fontId="45" fillId="2" borderId="10" xfId="0" applyNumberFormat="1" applyFont="1" applyFill="1" applyBorder="1" applyAlignment="1">
      <alignment horizontal="center" vertical="center"/>
    </xf>
    <xf numFmtId="1" fontId="20" fillId="2" borderId="10" xfId="0" applyNumberFormat="1" applyFont="1" applyFill="1" applyBorder="1" applyAlignment="1">
      <alignment horizontal="center" vertical="center"/>
    </xf>
    <xf numFmtId="2" fontId="1" fillId="6" borderId="22" xfId="0" applyNumberFormat="1" applyFont="1" applyFill="1" applyBorder="1" applyAlignment="1">
      <alignment horizontal="center" vertical="center" wrapText="1"/>
    </xf>
    <xf numFmtId="2" fontId="23" fillId="2" borderId="25" xfId="0" applyNumberFormat="1" applyFont="1" applyFill="1" applyBorder="1" applyAlignment="1">
      <alignment horizontal="center" vertical="center"/>
    </xf>
    <xf numFmtId="164" fontId="23" fillId="2" borderId="23" xfId="0" applyNumberFormat="1" applyFont="1" applyFill="1" applyBorder="1" applyAlignment="1">
      <alignment horizontal="center" vertical="center"/>
    </xf>
    <xf numFmtId="164" fontId="33" fillId="2" borderId="10" xfId="0" applyNumberFormat="1" applyFont="1" applyFill="1" applyBorder="1" applyAlignment="1">
      <alignment horizontal="center" vertical="center" wrapText="1"/>
    </xf>
    <xf numFmtId="2" fontId="1" fillId="6" borderId="26" xfId="0" applyNumberFormat="1" applyFont="1" applyFill="1" applyBorder="1" applyAlignment="1">
      <alignment horizontal="center" vertical="center" wrapText="1"/>
    </xf>
    <xf numFmtId="164" fontId="23" fillId="2" borderId="44" xfId="0" applyNumberFormat="1" applyFont="1" applyFill="1" applyBorder="1" applyAlignment="1">
      <alignment horizontal="center" vertical="center"/>
    </xf>
    <xf numFmtId="2" fontId="17" fillId="2" borderId="0" xfId="0" applyNumberFormat="1" applyFont="1" applyFill="1" applyAlignment="1">
      <alignment vertical="center"/>
    </xf>
    <xf numFmtId="164" fontId="1" fillId="2" borderId="10" xfId="5" applyNumberFormat="1" applyFill="1" applyBorder="1" applyAlignment="1">
      <alignment horizontal="center" vertical="center"/>
    </xf>
    <xf numFmtId="2" fontId="1" fillId="2" borderId="0" xfId="0" applyNumberFormat="1" applyFont="1" applyFill="1" applyAlignment="1">
      <alignment horizontal="right" vertical="center"/>
    </xf>
    <xf numFmtId="2" fontId="1" fillId="6" borderId="63" xfId="0" applyNumberFormat="1" applyFont="1" applyFill="1" applyBorder="1" applyAlignment="1">
      <alignment horizontal="center" vertical="center" wrapText="1"/>
    </xf>
    <xf numFmtId="164" fontId="23" fillId="2" borderId="39" xfId="0" applyNumberFormat="1" applyFont="1" applyFill="1" applyBorder="1" applyAlignment="1">
      <alignment horizontal="center" vertical="center"/>
    </xf>
    <xf numFmtId="2" fontId="71" fillId="6" borderId="29" xfId="0" applyNumberFormat="1" applyFont="1" applyFill="1" applyBorder="1" applyAlignment="1">
      <alignment horizontal="center" vertical="center" wrapText="1"/>
    </xf>
    <xf numFmtId="2" fontId="72" fillId="2" borderId="32" xfId="0" applyNumberFormat="1" applyFont="1" applyFill="1" applyBorder="1" applyAlignment="1">
      <alignment horizontal="center" vertical="center"/>
    </xf>
    <xf numFmtId="164" fontId="73" fillId="2" borderId="30" xfId="0" applyNumberFormat="1" applyFont="1" applyFill="1" applyBorder="1" applyAlignment="1">
      <alignment horizontal="center" vertical="center"/>
    </xf>
    <xf numFmtId="2" fontId="74" fillId="2" borderId="0" xfId="0" applyNumberFormat="1" applyFont="1" applyFill="1" applyAlignment="1">
      <alignment horizontal="center" vertical="center" wrapText="1"/>
    </xf>
    <xf numFmtId="2" fontId="75" fillId="2" borderId="0" xfId="0" applyNumberFormat="1" applyFont="1" applyFill="1" applyAlignment="1">
      <alignment horizontal="center" vertical="center"/>
    </xf>
    <xf numFmtId="2" fontId="76" fillId="2" borderId="51" xfId="0" applyNumberFormat="1" applyFont="1" applyFill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 vertical="center"/>
    </xf>
    <xf numFmtId="2" fontId="74" fillId="2" borderId="0" xfId="0" applyNumberFormat="1" applyFont="1" applyFill="1"/>
    <xf numFmtId="2" fontId="74" fillId="2" borderId="51" xfId="0" applyNumberFormat="1" applyFont="1" applyFill="1" applyBorder="1"/>
    <xf numFmtId="2" fontId="74" fillId="2" borderId="0" xfId="0" applyNumberFormat="1" applyFont="1" applyFill="1" applyAlignment="1">
      <alignment horizontal="center" vertical="center"/>
    </xf>
    <xf numFmtId="2" fontId="0" fillId="2" borderId="51" xfId="0" applyNumberFormat="1" applyFill="1" applyBorder="1"/>
    <xf numFmtId="2" fontId="30" fillId="2" borderId="0" xfId="0" applyNumberFormat="1" applyFont="1" applyFill="1"/>
    <xf numFmtId="2" fontId="30" fillId="2" borderId="51" xfId="0" applyNumberFormat="1" applyFont="1" applyFill="1" applyBorder="1"/>
    <xf numFmtId="2" fontId="33" fillId="2" borderId="51" xfId="0" applyNumberFormat="1" applyFont="1" applyFill="1" applyBorder="1" applyAlignment="1">
      <alignment horizontal="center" vertical="center"/>
    </xf>
    <xf numFmtId="2" fontId="33" fillId="0" borderId="0" xfId="0" applyNumberFormat="1" applyFont="1" applyAlignment="1">
      <alignment horizontal="center" vertical="center"/>
    </xf>
    <xf numFmtId="2" fontId="65" fillId="2" borderId="0" xfId="0" applyNumberFormat="1" applyFont="1" applyFill="1" applyAlignment="1">
      <alignment horizontal="center" vertical="center"/>
    </xf>
    <xf numFmtId="2" fontId="6" fillId="6" borderId="46" xfId="0" applyNumberFormat="1" applyFont="1" applyFill="1" applyBorder="1"/>
    <xf numFmtId="2" fontId="6" fillId="6" borderId="35" xfId="0" quotePrefix="1" applyNumberFormat="1" applyFont="1" applyFill="1" applyBorder="1" applyAlignment="1">
      <alignment vertical="center"/>
    </xf>
    <xf numFmtId="2" fontId="6" fillId="6" borderId="58" xfId="0" quotePrefix="1" applyNumberFormat="1" applyFont="1" applyFill="1" applyBorder="1" applyAlignment="1">
      <alignment vertical="center"/>
    </xf>
    <xf numFmtId="2" fontId="12" fillId="8" borderId="62" xfId="0" applyNumberFormat="1" applyFont="1" applyFill="1" applyBorder="1"/>
    <xf numFmtId="2" fontId="12" fillId="8" borderId="5" xfId="0" applyNumberFormat="1" applyFont="1" applyFill="1" applyBorder="1" applyAlignment="1">
      <alignment horizontal="center" vertical="center"/>
    </xf>
    <xf numFmtId="2" fontId="12" fillId="8" borderId="5" xfId="0" applyNumberFormat="1" applyFont="1" applyFill="1" applyBorder="1" applyAlignment="1">
      <alignment vertical="center"/>
    </xf>
    <xf numFmtId="1" fontId="12" fillId="8" borderId="5" xfId="0" applyNumberFormat="1" applyFont="1" applyFill="1" applyBorder="1" applyAlignment="1">
      <alignment vertical="center"/>
    </xf>
    <xf numFmtId="1" fontId="12" fillId="8" borderId="5" xfId="0" applyNumberFormat="1" applyFont="1" applyFill="1" applyBorder="1" applyAlignment="1">
      <alignment horizontal="center" vertical="center"/>
    </xf>
    <xf numFmtId="1" fontId="12" fillId="8" borderId="44" xfId="0" applyNumberFormat="1" applyFont="1" applyFill="1" applyBorder="1" applyAlignment="1">
      <alignment horizontal="center" vertical="center"/>
    </xf>
    <xf numFmtId="1" fontId="38" fillId="0" borderId="62" xfId="0" applyNumberFormat="1" applyFont="1" applyBorder="1" applyAlignment="1">
      <alignment horizontal="center" vertical="center"/>
    </xf>
    <xf numFmtId="2" fontId="38" fillId="0" borderId="13" xfId="0" applyNumberFormat="1" applyFont="1" applyBorder="1"/>
    <xf numFmtId="2" fontId="38" fillId="0" borderId="7" xfId="0" applyNumberFormat="1" applyFont="1" applyBorder="1"/>
    <xf numFmtId="2" fontId="38" fillId="0" borderId="59" xfId="0" applyNumberFormat="1" applyFont="1" applyBorder="1"/>
    <xf numFmtId="2" fontId="12" fillId="8" borderId="26" xfId="0" applyNumberFormat="1" applyFont="1" applyFill="1" applyBorder="1"/>
    <xf numFmtId="2" fontId="12" fillId="8" borderId="10" xfId="0" applyNumberFormat="1" applyFont="1" applyFill="1" applyBorder="1" applyAlignment="1">
      <alignment horizontal="center" vertical="center"/>
    </xf>
    <xf numFmtId="2" fontId="12" fillId="8" borderId="10" xfId="0" applyNumberFormat="1" applyFont="1" applyFill="1" applyBorder="1" applyAlignment="1">
      <alignment vertical="center"/>
    </xf>
    <xf numFmtId="1" fontId="12" fillId="8" borderId="10" xfId="0" applyNumberFormat="1" applyFont="1" applyFill="1" applyBorder="1" applyAlignment="1">
      <alignment vertical="center"/>
    </xf>
    <xf numFmtId="1" fontId="12" fillId="8" borderId="10" xfId="0" applyNumberFormat="1" applyFont="1" applyFill="1" applyBorder="1" applyAlignment="1">
      <alignment horizontal="center" vertical="center"/>
    </xf>
    <xf numFmtId="1" fontId="12" fillId="8" borderId="28" xfId="0" applyNumberFormat="1" applyFont="1" applyFill="1" applyBorder="1" applyAlignment="1">
      <alignment horizontal="center" vertical="center"/>
    </xf>
    <xf numFmtId="1" fontId="38" fillId="0" borderId="26" xfId="0" applyNumberFormat="1" applyFont="1" applyBorder="1" applyAlignment="1">
      <alignment horizontal="center" vertical="center"/>
    </xf>
    <xf numFmtId="2" fontId="38" fillId="0" borderId="8" xfId="0" applyNumberFormat="1" applyFont="1" applyBorder="1"/>
    <xf numFmtId="1" fontId="12" fillId="8" borderId="10" xfId="0" applyNumberFormat="1" applyFont="1" applyFill="1" applyBorder="1" applyAlignment="1">
      <alignment horizontal="right" vertical="center"/>
    </xf>
    <xf numFmtId="2" fontId="38" fillId="0" borderId="51" xfId="0" applyNumberFormat="1" applyFont="1" applyBorder="1"/>
    <xf numFmtId="2" fontId="38" fillId="6" borderId="53" xfId="0" applyNumberFormat="1" applyFont="1" applyFill="1" applyBorder="1"/>
    <xf numFmtId="2" fontId="38" fillId="6" borderId="54" xfId="0" applyNumberFormat="1" applyFont="1" applyFill="1" applyBorder="1"/>
    <xf numFmtId="2" fontId="38" fillId="6" borderId="55" xfId="0" applyNumberFormat="1" applyFont="1" applyFill="1" applyBorder="1"/>
    <xf numFmtId="2" fontId="33" fillId="2" borderId="22" xfId="0" applyNumberFormat="1" applyFont="1" applyFill="1" applyBorder="1" applyAlignment="1">
      <alignment horizontal="center" vertical="center" wrapText="1"/>
    </xf>
    <xf numFmtId="2" fontId="33" fillId="2" borderId="50" xfId="0" applyNumberFormat="1" applyFont="1" applyFill="1" applyBorder="1" applyAlignment="1">
      <alignment horizontal="center" vertical="center" wrapText="1"/>
    </xf>
    <xf numFmtId="164" fontId="33" fillId="2" borderId="29" xfId="0" applyNumberFormat="1" applyFont="1" applyFill="1" applyBorder="1" applyAlignment="1">
      <alignment horizontal="center" vertical="center"/>
    </xf>
    <xf numFmtId="164" fontId="33" fillId="2" borderId="32" xfId="0" applyNumberFormat="1" applyFont="1" applyFill="1" applyBorder="1" applyAlignment="1">
      <alignment horizontal="center" vertical="center"/>
    </xf>
    <xf numFmtId="2" fontId="1" fillId="2" borderId="30" xfId="0" applyNumberFormat="1" applyFont="1" applyFill="1" applyBorder="1" applyAlignment="1">
      <alignment horizontal="center" vertical="center"/>
    </xf>
    <xf numFmtId="164" fontId="23" fillId="2" borderId="28" xfId="0" applyNumberFormat="1" applyFont="1" applyFill="1" applyBorder="1" applyAlignment="1">
      <alignment horizontal="center" vertical="center"/>
    </xf>
    <xf numFmtId="186" fontId="41" fillId="0" borderId="0" xfId="0" applyNumberFormat="1" applyFont="1" applyAlignment="1">
      <alignment horizontal="left" vertical="center"/>
    </xf>
    <xf numFmtId="186" fontId="56" fillId="0" borderId="0" xfId="0" applyNumberFormat="1" applyFont="1" applyAlignment="1">
      <alignment horizontal="left" vertical="center"/>
    </xf>
    <xf numFmtId="165" fontId="41" fillId="0" borderId="10" xfId="0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35" fillId="2" borderId="10" xfId="0" applyNumberFormat="1" applyFont="1" applyFill="1" applyBorder="1" applyAlignment="1">
      <alignment horizontal="center" vertical="center"/>
    </xf>
    <xf numFmtId="0" fontId="36" fillId="2" borderId="10" xfId="0" applyFont="1" applyFill="1" applyBorder="1" applyAlignment="1">
      <alignment horizontal="center" vertical="center"/>
    </xf>
    <xf numFmtId="0" fontId="36" fillId="2" borderId="32" xfId="0" applyFont="1" applyFill="1" applyBorder="1" applyAlignment="1">
      <alignment horizontal="center" vertical="center"/>
    </xf>
    <xf numFmtId="0" fontId="77" fillId="0" borderId="0" xfId="0" applyFont="1" applyAlignment="1" applyProtection="1">
      <alignment vertical="center"/>
      <protection locked="0"/>
    </xf>
    <xf numFmtId="0" fontId="36" fillId="2" borderId="7" xfId="0" applyFont="1" applyFill="1" applyBorder="1" applyAlignment="1">
      <alignment vertical="center"/>
    </xf>
    <xf numFmtId="0" fontId="36" fillId="2" borderId="5" xfId="0" applyFont="1" applyFill="1" applyBorder="1" applyAlignment="1">
      <alignment horizontal="center" vertical="center"/>
    </xf>
    <xf numFmtId="1" fontId="36" fillId="2" borderId="44" xfId="0" applyNumberFormat="1" applyFont="1" applyFill="1" applyBorder="1" applyAlignment="1">
      <alignment horizontal="center" vertical="center"/>
    </xf>
    <xf numFmtId="0" fontId="36" fillId="2" borderId="12" xfId="0" applyFont="1" applyFill="1" applyBorder="1" applyAlignment="1">
      <alignment vertical="center"/>
    </xf>
    <xf numFmtId="1" fontId="36" fillId="2" borderId="28" xfId="0" applyNumberFormat="1" applyFont="1" applyFill="1" applyBorder="1" applyAlignment="1">
      <alignment horizontal="center" vertical="center"/>
    </xf>
    <xf numFmtId="0" fontId="36" fillId="2" borderId="6" xfId="0" applyFont="1" applyFill="1" applyBorder="1" applyAlignment="1">
      <alignment vertical="center"/>
    </xf>
    <xf numFmtId="0" fontId="77" fillId="0" borderId="1" xfId="0" applyFont="1" applyBorder="1" applyAlignment="1" applyProtection="1">
      <alignment vertical="center"/>
      <protection locked="0"/>
    </xf>
    <xf numFmtId="0" fontId="36" fillId="2" borderId="11" xfId="0" applyFont="1" applyFill="1" applyBorder="1" applyAlignment="1">
      <alignment vertical="center"/>
    </xf>
    <xf numFmtId="0" fontId="36" fillId="2" borderId="9" xfId="0" applyFont="1" applyFill="1" applyBorder="1" applyAlignment="1">
      <alignment horizontal="center" vertical="center"/>
    </xf>
    <xf numFmtId="0" fontId="77" fillId="0" borderId="8" xfId="0" applyFont="1" applyBorder="1" applyAlignment="1">
      <alignment vertical="center"/>
    </xf>
    <xf numFmtId="0" fontId="36" fillId="2" borderId="9" xfId="0" applyFont="1" applyFill="1" applyBorder="1" applyAlignment="1">
      <alignment vertical="center"/>
    </xf>
    <xf numFmtId="0" fontId="77" fillId="0" borderId="13" xfId="0" applyFont="1" applyBorder="1" applyAlignment="1">
      <alignment vertical="center"/>
    </xf>
    <xf numFmtId="0" fontId="36" fillId="2" borderId="14" xfId="0" applyFont="1" applyFill="1" applyBorder="1" applyAlignment="1">
      <alignment vertical="center"/>
    </xf>
    <xf numFmtId="0" fontId="35" fillId="0" borderId="8" xfId="1" applyFont="1" applyBorder="1" applyAlignment="1">
      <alignment vertical="center"/>
    </xf>
    <xf numFmtId="0" fontId="35" fillId="0" borderId="12" xfId="1" applyFont="1" applyBorder="1" applyAlignment="1">
      <alignment vertical="center"/>
    </xf>
    <xf numFmtId="0" fontId="35" fillId="0" borderId="8" xfId="1" applyFont="1" applyBorder="1"/>
    <xf numFmtId="0" fontId="35" fillId="0" borderId="12" xfId="1" applyFont="1" applyBorder="1"/>
    <xf numFmtId="1" fontId="36" fillId="2" borderId="10" xfId="0" applyNumberFormat="1" applyFont="1" applyFill="1" applyBorder="1" applyAlignment="1">
      <alignment horizontal="center" vertical="center"/>
    </xf>
    <xf numFmtId="0" fontId="35" fillId="0" borderId="13" xfId="1" applyFont="1" applyBorder="1"/>
    <xf numFmtId="0" fontId="35" fillId="0" borderId="7" xfId="1" applyFont="1" applyBorder="1"/>
    <xf numFmtId="0" fontId="36" fillId="2" borderId="54" xfId="0" applyFont="1" applyFill="1" applyBorder="1" applyAlignment="1">
      <alignment vertical="center"/>
    </xf>
    <xf numFmtId="0" fontId="36" fillId="2" borderId="0" xfId="0" applyFont="1" applyFill="1" applyAlignment="1">
      <alignment vertical="center"/>
    </xf>
    <xf numFmtId="1" fontId="36" fillId="2" borderId="0" xfId="0" applyNumberFormat="1" applyFont="1" applyFill="1" applyAlignment="1">
      <alignment horizontal="center" vertical="center"/>
    </xf>
    <xf numFmtId="0" fontId="78" fillId="0" borderId="26" xfId="0" applyFont="1" applyBorder="1" applyAlignment="1">
      <alignment horizontal="center" vertical="center"/>
    </xf>
    <xf numFmtId="0" fontId="35" fillId="2" borderId="10" xfId="0" applyFont="1" applyFill="1" applyBorder="1"/>
    <xf numFmtId="0" fontId="38" fillId="0" borderId="8" xfId="0" applyFont="1" applyBorder="1"/>
    <xf numFmtId="0" fontId="38" fillId="0" borderId="12" xfId="0" applyFont="1" applyBorder="1"/>
    <xf numFmtId="0" fontId="38" fillId="0" borderId="27" xfId="0" applyFont="1" applyBorder="1"/>
    <xf numFmtId="0" fontId="34" fillId="2" borderId="46" xfId="0" applyFont="1" applyFill="1" applyBorder="1" applyAlignment="1">
      <alignment horizontal="center" vertical="top" wrapText="1"/>
    </xf>
    <xf numFmtId="0" fontId="34" fillId="2" borderId="70" xfId="0" applyFont="1" applyFill="1" applyBorder="1" applyAlignment="1">
      <alignment horizontal="center" vertical="top" wrapText="1"/>
    </xf>
    <xf numFmtId="0" fontId="33" fillId="2" borderId="70" xfId="0" applyFont="1" applyFill="1" applyBorder="1" applyAlignment="1">
      <alignment horizontal="center" vertical="top" wrapText="1"/>
    </xf>
    <xf numFmtId="0" fontId="30" fillId="2" borderId="47" xfId="0" applyFont="1" applyFill="1" applyBorder="1" applyAlignment="1">
      <alignment horizontal="center" vertical="top" wrapText="1"/>
    </xf>
    <xf numFmtId="0" fontId="34" fillId="2" borderId="37" xfId="0" applyFont="1" applyFill="1" applyBorder="1" applyAlignment="1">
      <alignment horizontal="center" vertical="top" wrapText="1"/>
    </xf>
    <xf numFmtId="2" fontId="35" fillId="2" borderId="8" xfId="0" applyNumberFormat="1" applyFont="1" applyFill="1" applyBorder="1" applyAlignment="1">
      <alignment horizontal="center" vertical="center"/>
    </xf>
    <xf numFmtId="0" fontId="79" fillId="0" borderId="10" xfId="0" quotePrefix="1" applyFont="1" applyBorder="1" applyAlignment="1" applyProtection="1">
      <alignment horizontal="center" vertical="center"/>
      <protection locked="0"/>
    </xf>
    <xf numFmtId="0" fontId="80" fillId="4" borderId="8" xfId="0" applyFont="1" applyFill="1" applyBorder="1" applyAlignment="1" applyProtection="1">
      <alignment horizontal="right" vertical="center"/>
      <protection locked="0"/>
    </xf>
    <xf numFmtId="0" fontId="80" fillId="4" borderId="8" xfId="0" quotePrefix="1" applyFont="1" applyFill="1" applyBorder="1" applyAlignment="1" applyProtection="1">
      <alignment horizontal="right" vertical="center"/>
      <protection locked="0"/>
    </xf>
    <xf numFmtId="0" fontId="80" fillId="4" borderId="0" xfId="0" applyFont="1" applyFill="1" applyAlignment="1" applyProtection="1">
      <alignment vertical="center"/>
      <protection locked="0"/>
    </xf>
    <xf numFmtId="0" fontId="80" fillId="4" borderId="0" xfId="0" quotePrefix="1" applyFont="1" applyFill="1" applyAlignment="1" applyProtection="1">
      <alignment horizontal="left" vertical="center"/>
      <protection locked="0"/>
    </xf>
    <xf numFmtId="1" fontId="80" fillId="4" borderId="10" xfId="0" applyNumberFormat="1" applyFont="1" applyFill="1" applyBorder="1" applyAlignment="1" applyProtection="1">
      <alignment horizontal="center" vertical="center"/>
      <protection locked="0"/>
    </xf>
    <xf numFmtId="1" fontId="7" fillId="0" borderId="10" xfId="0" applyNumberFormat="1" applyFont="1" applyBorder="1" applyAlignment="1">
      <alignment horizontal="center" vertical="center"/>
    </xf>
    <xf numFmtId="0" fontId="56" fillId="0" borderId="0" xfId="0" applyFont="1" applyBorder="1" applyAlignment="1">
      <alignment vertical="center"/>
    </xf>
    <xf numFmtId="2" fontId="39" fillId="2" borderId="0" xfId="5" applyNumberFormat="1" applyFont="1" applyFill="1" applyBorder="1" applyAlignment="1">
      <alignment horizontal="center" vertical="center"/>
    </xf>
    <xf numFmtId="2" fontId="7" fillId="0" borderId="0" xfId="0" applyNumberFormat="1" applyFont="1" applyBorder="1" applyAlignment="1">
      <alignment vertical="center"/>
    </xf>
    <xf numFmtId="2" fontId="23" fillId="2" borderId="0" xfId="0" applyNumberFormat="1" applyFont="1" applyFill="1" applyBorder="1" applyAlignment="1">
      <alignment horizontal="center"/>
    </xf>
    <xf numFmtId="2" fontId="7" fillId="0" borderId="0" xfId="0" applyNumberFormat="1" applyFont="1" applyBorder="1" applyAlignment="1">
      <alignment horizontal="center" vertical="center"/>
    </xf>
    <xf numFmtId="176" fontId="41" fillId="0" borderId="8" xfId="0" applyNumberFormat="1" applyFont="1" applyBorder="1" applyAlignment="1">
      <alignment horizontal="right" vertical="center"/>
    </xf>
    <xf numFmtId="1" fontId="7" fillId="0" borderId="0" xfId="0" applyNumberFormat="1" applyFont="1" applyAlignment="1">
      <alignment horizontal="center" vertical="center"/>
    </xf>
    <xf numFmtId="0" fontId="80" fillId="4" borderId="10" xfId="0" applyFont="1" applyFill="1" applyBorder="1" applyAlignment="1" applyProtection="1">
      <alignment horizontal="center" vertical="center"/>
      <protection locked="0"/>
    </xf>
    <xf numFmtId="165" fontId="80" fillId="4" borderId="10" xfId="0" applyNumberFormat="1" applyFont="1" applyFill="1" applyBorder="1" applyAlignment="1" applyProtection="1">
      <alignment horizontal="center" vertical="center"/>
      <protection locked="0"/>
    </xf>
    <xf numFmtId="2" fontId="27" fillId="0" borderId="10" xfId="5" applyNumberFormat="1" applyFont="1" applyBorder="1" applyAlignment="1">
      <alignment horizontal="center" vertical="center"/>
    </xf>
    <xf numFmtId="2" fontId="20" fillId="0" borderId="10" xfId="0" applyNumberFormat="1" applyFon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23" fillId="9" borderId="10" xfId="0" applyNumberFormat="1" applyFont="1" applyFill="1" applyBorder="1" applyAlignment="1">
      <alignment horizontal="center" vertical="center"/>
    </xf>
    <xf numFmtId="0" fontId="51" fillId="0" borderId="0" xfId="0" applyFont="1" applyAlignment="1" applyProtection="1">
      <alignment vertical="center"/>
      <protection locked="0"/>
    </xf>
    <xf numFmtId="0" fontId="51" fillId="0" borderId="0" xfId="0" applyFont="1" applyAlignment="1" applyProtection="1">
      <alignment horizontal="right" vertical="center"/>
      <protection locked="0"/>
    </xf>
    <xf numFmtId="0" fontId="51" fillId="4" borderId="0" xfId="0" applyFont="1" applyFill="1" applyAlignment="1" applyProtection="1">
      <alignment horizontal="left" vertical="center"/>
      <protection locked="0"/>
    </xf>
    <xf numFmtId="0" fontId="51" fillId="4" borderId="0" xfId="0" applyFont="1" applyFill="1" applyAlignment="1" applyProtection="1">
      <alignment vertical="center"/>
      <protection locked="0"/>
    </xf>
    <xf numFmtId="0" fontId="51" fillId="4" borderId="0" xfId="0" quotePrefix="1" applyFont="1" applyFill="1" applyAlignment="1" applyProtection="1">
      <alignment horizontal="left" vertical="center"/>
      <protection locked="0"/>
    </xf>
    <xf numFmtId="0" fontId="51" fillId="0" borderId="0" xfId="0" applyFont="1" applyProtection="1">
      <protection locked="0"/>
    </xf>
    <xf numFmtId="186" fontId="51" fillId="4" borderId="0" xfId="0" quotePrefix="1" applyNumberFormat="1" applyFont="1" applyFill="1" applyAlignment="1" applyProtection="1">
      <alignment vertical="center"/>
      <protection locked="0"/>
    </xf>
    <xf numFmtId="0" fontId="51" fillId="0" borderId="0" xfId="0" applyFont="1" applyAlignment="1" applyProtection="1">
      <alignment horizontal="left" vertical="center"/>
      <protection locked="0"/>
    </xf>
    <xf numFmtId="0" fontId="84" fillId="0" borderId="0" xfId="0" applyFont="1" applyAlignment="1" applyProtection="1">
      <alignment vertical="center"/>
      <protection locked="0"/>
    </xf>
    <xf numFmtId="0" fontId="84" fillId="0" borderId="10" xfId="0" applyFont="1" applyBorder="1" applyAlignment="1" applyProtection="1">
      <alignment horizontal="center" vertical="center"/>
      <protection locked="0"/>
    </xf>
    <xf numFmtId="0" fontId="84" fillId="0" borderId="10" xfId="0" applyFont="1" applyBorder="1" applyAlignment="1" applyProtection="1">
      <alignment horizontal="center" vertical="center" wrapText="1"/>
      <protection locked="0"/>
    </xf>
    <xf numFmtId="165" fontId="51" fillId="0" borderId="10" xfId="0" applyNumberFormat="1" applyFont="1" applyBorder="1" applyAlignment="1">
      <alignment horizontal="center" vertical="center"/>
    </xf>
    <xf numFmtId="0" fontId="85" fillId="0" borderId="0" xfId="0" applyFont="1" applyAlignment="1" applyProtection="1">
      <alignment vertical="center"/>
      <protection locked="0"/>
    </xf>
    <xf numFmtId="2" fontId="51" fillId="0" borderId="10" xfId="0" applyNumberFormat="1" applyFont="1" applyBorder="1" applyAlignment="1">
      <alignment horizontal="center" vertical="center"/>
    </xf>
    <xf numFmtId="0" fontId="51" fillId="0" borderId="10" xfId="0" quotePrefix="1" applyFont="1" applyBorder="1" applyAlignment="1" applyProtection="1">
      <alignment horizontal="center" vertical="center"/>
      <protection locked="0"/>
    </xf>
    <xf numFmtId="0" fontId="51" fillId="0" borderId="8" xfId="0" applyFont="1" applyBorder="1" applyAlignment="1" applyProtection="1">
      <alignment vertical="center"/>
      <protection locked="0"/>
    </xf>
    <xf numFmtId="0" fontId="51" fillId="0" borderId="12" xfId="0" applyFont="1" applyBorder="1" applyAlignment="1" applyProtection="1">
      <alignment vertical="center"/>
      <protection locked="0"/>
    </xf>
    <xf numFmtId="0" fontId="51" fillId="0" borderId="9" xfId="0" applyFont="1" applyBorder="1" applyAlignment="1" applyProtection="1">
      <alignment horizontal="left" vertical="center"/>
      <protection locked="0"/>
    </xf>
    <xf numFmtId="171" fontId="51" fillId="0" borderId="8" xfId="0" applyNumberFormat="1" applyFont="1" applyBorder="1" applyAlignment="1">
      <alignment horizontal="center" vertical="center" wrapText="1"/>
    </xf>
    <xf numFmtId="0" fontId="51" fillId="0" borderId="9" xfId="0" applyFont="1" applyBorder="1" applyAlignment="1">
      <alignment horizontal="left" vertical="center"/>
    </xf>
    <xf numFmtId="173" fontId="51" fillId="0" borderId="8" xfId="0" applyNumberFormat="1" applyFont="1" applyBorder="1" applyAlignment="1">
      <alignment horizontal="center" vertical="center" wrapText="1"/>
    </xf>
    <xf numFmtId="0" fontId="51" fillId="0" borderId="10" xfId="0" applyFont="1" applyBorder="1" applyAlignment="1">
      <alignment horizontal="center" vertical="center"/>
    </xf>
    <xf numFmtId="0" fontId="51" fillId="0" borderId="10" xfId="0" applyFont="1" applyBorder="1" applyAlignment="1" applyProtection="1">
      <alignment horizontal="center" vertical="center" wrapText="1"/>
      <protection locked="0"/>
    </xf>
    <xf numFmtId="185" fontId="51" fillId="0" borderId="10" xfId="0" applyNumberFormat="1" applyFont="1" applyBorder="1" applyAlignment="1" applyProtection="1">
      <alignment horizontal="center" vertical="center"/>
      <protection locked="0"/>
    </xf>
    <xf numFmtId="175" fontId="51" fillId="0" borderId="13" xfId="0" applyNumberFormat="1" applyFont="1" applyBorder="1" applyAlignment="1">
      <alignment horizontal="center" vertical="center" wrapText="1"/>
    </xf>
    <xf numFmtId="0" fontId="51" fillId="0" borderId="8" xfId="0" applyFont="1" applyBorder="1" applyAlignment="1" applyProtection="1">
      <alignment horizontal="left" vertical="center"/>
      <protection locked="0"/>
    </xf>
    <xf numFmtId="0" fontId="51" fillId="0" borderId="12" xfId="0" applyFont="1" applyBorder="1" applyAlignment="1" applyProtection="1">
      <alignment horizontal="left" vertical="center"/>
      <protection locked="0"/>
    </xf>
    <xf numFmtId="175" fontId="51" fillId="0" borderId="12" xfId="0" applyNumberFormat="1" applyFont="1" applyBorder="1" applyAlignment="1">
      <alignment horizontal="center" vertical="center" wrapText="1"/>
    </xf>
    <xf numFmtId="0" fontId="84" fillId="0" borderId="0" xfId="0" applyFont="1" applyAlignment="1" applyProtection="1">
      <alignment horizontal="center" vertical="center"/>
      <protection locked="0"/>
    </xf>
    <xf numFmtId="2" fontId="51" fillId="0" borderId="0" xfId="0" applyNumberFormat="1" applyFont="1" applyAlignment="1" applyProtection="1">
      <alignment horizontal="center" vertical="center"/>
      <protection locked="0"/>
    </xf>
    <xf numFmtId="164" fontId="51" fillId="0" borderId="0" xfId="0" applyNumberFormat="1" applyFont="1" applyAlignment="1" applyProtection="1">
      <alignment horizontal="center" vertical="center"/>
      <protection locked="0"/>
    </xf>
    <xf numFmtId="167" fontId="51" fillId="0" borderId="0" xfId="0" applyNumberFormat="1" applyFont="1" applyAlignment="1" applyProtection="1">
      <alignment horizontal="center" vertical="center"/>
      <protection locked="0"/>
    </xf>
    <xf numFmtId="164" fontId="51" fillId="0" borderId="0" xfId="3" applyNumberFormat="1" applyFont="1" applyBorder="1" applyAlignment="1" applyProtection="1">
      <alignment horizontal="center" vertical="center"/>
      <protection locked="0"/>
    </xf>
    <xf numFmtId="0" fontId="51" fillId="0" borderId="0" xfId="0" quotePrefix="1" applyFont="1" applyAlignment="1" applyProtection="1">
      <alignment vertical="center"/>
      <protection locked="0"/>
    </xf>
    <xf numFmtId="0" fontId="51" fillId="0" borderId="0" xfId="0" applyFont="1" applyAlignment="1" applyProtection="1">
      <alignment horizontal="center" vertical="center"/>
      <protection locked="0"/>
    </xf>
    <xf numFmtId="165" fontId="51" fillId="0" borderId="0" xfId="0" applyNumberFormat="1" applyFont="1" applyAlignment="1" applyProtection="1">
      <alignment horizontal="center" vertical="center"/>
      <protection locked="0"/>
    </xf>
    <xf numFmtId="2" fontId="51" fillId="0" borderId="0" xfId="3" applyNumberFormat="1" applyFont="1" applyFill="1" applyBorder="1" applyAlignment="1" applyProtection="1">
      <alignment horizontal="center" vertical="center"/>
      <protection locked="0"/>
    </xf>
    <xf numFmtId="177" fontId="51" fillId="0" borderId="0" xfId="0" applyNumberFormat="1" applyFont="1" applyAlignment="1" applyProtection="1">
      <alignment horizontal="center" vertical="center"/>
      <protection locked="0"/>
    </xf>
    <xf numFmtId="0" fontId="51" fillId="0" borderId="0" xfId="0" quotePrefix="1" applyFont="1" applyAlignment="1" applyProtection="1">
      <alignment horizontal="center" vertical="center" wrapText="1"/>
      <protection locked="0"/>
    </xf>
    <xf numFmtId="179" fontId="51" fillId="0" borderId="0" xfId="0" applyNumberFormat="1" applyFont="1" applyAlignment="1" applyProtection="1">
      <alignment horizontal="center" vertical="center"/>
      <protection locked="0"/>
    </xf>
    <xf numFmtId="179" fontId="51" fillId="0" borderId="0" xfId="0" quotePrefix="1" applyNumberFormat="1" applyFont="1" applyAlignment="1" applyProtection="1">
      <alignment vertical="center"/>
      <protection locked="0"/>
    </xf>
    <xf numFmtId="0" fontId="84" fillId="0" borderId="8" xfId="0" applyFont="1" applyBorder="1" applyAlignment="1" applyProtection="1">
      <alignment horizontal="center" vertical="center"/>
      <protection locked="0"/>
    </xf>
    <xf numFmtId="0" fontId="84" fillId="0" borderId="9" xfId="0" applyFont="1" applyBorder="1" applyAlignment="1" applyProtection="1">
      <alignment horizontal="center" vertical="center"/>
      <protection locked="0"/>
    </xf>
    <xf numFmtId="0" fontId="84" fillId="0" borderId="5" xfId="0" applyFont="1" applyBorder="1" applyAlignment="1" applyProtection="1">
      <alignment horizontal="center" vertical="center"/>
      <protection locked="0"/>
    </xf>
    <xf numFmtId="0" fontId="51" fillId="0" borderId="10" xfId="0" applyFont="1" applyBorder="1" applyAlignment="1" applyProtection="1">
      <alignment horizontal="center" vertical="center"/>
      <protection locked="0"/>
    </xf>
    <xf numFmtId="0" fontId="51" fillId="4" borderId="10" xfId="0" applyFont="1" applyFill="1" applyBorder="1" applyAlignment="1" applyProtection="1">
      <alignment horizontal="center" vertical="center"/>
      <protection locked="0"/>
    </xf>
    <xf numFmtId="165" fontId="51" fillId="0" borderId="10" xfId="3" applyNumberFormat="1" applyFont="1" applyFill="1" applyBorder="1" applyAlignment="1" applyProtection="1">
      <alignment horizontal="center" vertical="center"/>
    </xf>
    <xf numFmtId="0" fontId="84" fillId="0" borderId="0" xfId="0" applyFont="1" applyAlignment="1" applyProtection="1">
      <alignment horizontal="left" vertical="center"/>
      <protection locked="0"/>
    </xf>
    <xf numFmtId="2" fontId="51" fillId="0" borderId="0" xfId="0" applyNumberFormat="1" applyFont="1" applyAlignment="1" applyProtection="1">
      <alignment vertical="center"/>
      <protection locked="0"/>
    </xf>
    <xf numFmtId="0" fontId="87" fillId="0" borderId="0" xfId="0" applyFont="1" applyAlignment="1" applyProtection="1">
      <alignment vertical="center"/>
      <protection locked="0"/>
    </xf>
    <xf numFmtId="0" fontId="88" fillId="0" borderId="0" xfId="0" applyFont="1"/>
    <xf numFmtId="0" fontId="10" fillId="0" borderId="0" xfId="2" applyFont="1" applyAlignment="1" applyProtection="1">
      <alignment vertical="center"/>
      <protection locked="0"/>
    </xf>
    <xf numFmtId="0" fontId="88" fillId="0" borderId="0" xfId="0" applyFont="1" applyAlignment="1" applyProtection="1">
      <alignment vertical="center"/>
      <protection locked="0"/>
    </xf>
    <xf numFmtId="165" fontId="10" fillId="0" borderId="0" xfId="0" applyNumberFormat="1" applyFont="1" applyAlignment="1" applyProtection="1">
      <alignment horizontal="left" vertical="center"/>
      <protection locked="0"/>
    </xf>
    <xf numFmtId="0" fontId="10" fillId="0" borderId="0" xfId="0" applyFont="1" applyAlignment="1" applyProtection="1">
      <alignment horizontal="left" vertical="center"/>
      <protection locked="0"/>
    </xf>
    <xf numFmtId="0" fontId="10" fillId="0" borderId="0" xfId="2" applyFont="1" applyAlignment="1" applyProtection="1">
      <alignment horizontal="left" vertical="center"/>
      <protection locked="0"/>
    </xf>
    <xf numFmtId="0" fontId="1" fillId="0" borderId="0" xfId="7"/>
    <xf numFmtId="0" fontId="16" fillId="3" borderId="0" xfId="8" applyFont="1" applyFill="1" applyAlignment="1">
      <alignment horizontal="center"/>
    </xf>
    <xf numFmtId="0" fontId="1" fillId="0" borderId="0" xfId="7" applyProtection="1">
      <protection locked="0"/>
    </xf>
    <xf numFmtId="0" fontId="90" fillId="0" borderId="0" xfId="7" applyFont="1" applyAlignment="1">
      <alignment horizontal="center" vertical="center" wrapText="1"/>
    </xf>
    <xf numFmtId="0" fontId="32" fillId="0" borderId="0" xfId="7" applyFont="1" applyProtection="1">
      <protection locked="0"/>
    </xf>
    <xf numFmtId="0" fontId="28" fillId="0" borderId="8" xfId="7" applyFont="1" applyBorder="1" applyAlignment="1">
      <alignment horizontal="left" vertical="top" wrapText="1"/>
    </xf>
    <xf numFmtId="0" fontId="28" fillId="0" borderId="9" xfId="7" applyFont="1" applyBorder="1" applyAlignment="1">
      <alignment horizontal="left" vertical="top" wrapText="1"/>
    </xf>
    <xf numFmtId="0" fontId="1" fillId="0" borderId="0" xfId="7" applyAlignment="1">
      <alignment horizontal="left" vertical="top"/>
    </xf>
    <xf numFmtId="0" fontId="28" fillId="0" borderId="9" xfId="7" applyFont="1" applyBorder="1" applyAlignment="1">
      <alignment horizontal="left" vertical="top"/>
    </xf>
    <xf numFmtId="0" fontId="28" fillId="0" borderId="0" xfId="7" applyFont="1" applyAlignment="1">
      <alignment vertical="center" wrapText="1"/>
    </xf>
    <xf numFmtId="0" fontId="28" fillId="0" borderId="0" xfId="7" applyFont="1" applyAlignment="1">
      <alignment horizontal="center" vertical="center" wrapText="1"/>
    </xf>
    <xf numFmtId="0" fontId="92" fillId="0" borderId="0" xfId="7" applyFont="1"/>
    <xf numFmtId="0" fontId="28" fillId="0" borderId="0" xfId="7" applyFont="1" applyAlignment="1" applyProtection="1">
      <alignment horizontal="center" vertical="center" wrapText="1"/>
      <protection locked="0"/>
    </xf>
    <xf numFmtId="1" fontId="28" fillId="0" borderId="0" xfId="7" quotePrefix="1" applyNumberFormat="1" applyFont="1" applyAlignment="1" applyProtection="1">
      <alignment horizontal="left"/>
      <protection locked="0"/>
    </xf>
    <xf numFmtId="0" fontId="28" fillId="0" borderId="0" xfId="7" applyFont="1" applyProtection="1">
      <protection locked="0"/>
    </xf>
    <xf numFmtId="1" fontId="91" fillId="0" borderId="0" xfId="7" quotePrefix="1" applyNumberFormat="1" applyFont="1" applyProtection="1">
      <protection locked="0"/>
    </xf>
    <xf numFmtId="0" fontId="92" fillId="0" borderId="0" xfId="7" applyFont="1" applyProtection="1">
      <protection locked="0"/>
    </xf>
    <xf numFmtId="187" fontId="28" fillId="0" borderId="0" xfId="7" quotePrefix="1" applyNumberFormat="1" applyFont="1" applyAlignment="1" applyProtection="1">
      <alignment horizontal="left"/>
      <protection locked="0"/>
    </xf>
    <xf numFmtId="2" fontId="91" fillId="0" borderId="0" xfId="7" quotePrefix="1" applyNumberFormat="1" applyFont="1" applyProtection="1">
      <protection locked="0"/>
    </xf>
    <xf numFmtId="0" fontId="1" fillId="0" borderId="0" xfId="7" applyAlignment="1">
      <alignment vertical="top" wrapText="1"/>
    </xf>
    <xf numFmtId="0" fontId="28" fillId="0" borderId="8" xfId="7" applyFont="1" applyBorder="1" applyAlignment="1">
      <alignment vertical="top"/>
    </xf>
    <xf numFmtId="0" fontId="28" fillId="0" borderId="9" xfId="7" applyFont="1" applyBorder="1" applyAlignment="1" applyProtection="1">
      <alignment vertical="top" wrapText="1"/>
      <protection locked="0"/>
    </xf>
    <xf numFmtId="0" fontId="28" fillId="0" borderId="9" xfId="7" applyFont="1" applyBorder="1" applyAlignment="1" applyProtection="1">
      <alignment vertical="top"/>
      <protection locked="0"/>
    </xf>
    <xf numFmtId="0" fontId="13" fillId="0" borderId="0" xfId="7" applyFont="1" applyAlignment="1">
      <alignment vertical="top"/>
    </xf>
    <xf numFmtId="0" fontId="28" fillId="0" borderId="0" xfId="7" applyFont="1" applyAlignment="1" applyProtection="1">
      <alignment horizontal="center" vertical="top" wrapText="1"/>
      <protection locked="0"/>
    </xf>
    <xf numFmtId="0" fontId="90" fillId="0" borderId="0" xfId="7" applyFont="1" applyAlignment="1">
      <alignment wrapText="1"/>
    </xf>
    <xf numFmtId="0" fontId="81" fillId="0" borderId="0" xfId="7" applyFont="1" applyAlignment="1">
      <alignment horizontal="center"/>
    </xf>
    <xf numFmtId="0" fontId="22" fillId="0" borderId="0" xfId="7" applyFont="1"/>
    <xf numFmtId="0" fontId="28" fillId="0" borderId="0" xfId="7" applyFont="1" applyAlignment="1">
      <alignment horizontal="center" vertical="top" wrapText="1"/>
    </xf>
    <xf numFmtId="0" fontId="28" fillId="0" borderId="0" xfId="7" applyFont="1" applyAlignment="1">
      <alignment vertical="top" wrapText="1"/>
    </xf>
    <xf numFmtId="0" fontId="28" fillId="0" borderId="0" xfId="7" applyFont="1" applyAlignment="1">
      <alignment horizontal="justify" vertical="center" wrapText="1"/>
    </xf>
    <xf numFmtId="0" fontId="93" fillId="0" borderId="0" xfId="7" applyFont="1" applyAlignment="1">
      <alignment vertical="center"/>
    </xf>
    <xf numFmtId="0" fontId="1" fillId="0" borderId="48" xfId="7" applyBorder="1"/>
    <xf numFmtId="0" fontId="94" fillId="0" borderId="50" xfId="7" applyFont="1" applyBorder="1"/>
    <xf numFmtId="0" fontId="1" fillId="0" borderId="16" xfId="7" applyBorder="1"/>
    <xf numFmtId="0" fontId="1" fillId="0" borderId="51" xfId="7" applyBorder="1"/>
    <xf numFmtId="0" fontId="1" fillId="0" borderId="16" xfId="7" applyBorder="1" applyAlignment="1">
      <alignment wrapText="1"/>
    </xf>
    <xf numFmtId="0" fontId="1" fillId="0" borderId="51" xfId="7" applyBorder="1" applyAlignment="1">
      <alignment wrapText="1"/>
    </xf>
    <xf numFmtId="0" fontId="94" fillId="0" borderId="51" xfId="7" applyFont="1" applyBorder="1"/>
    <xf numFmtId="0" fontId="95" fillId="0" borderId="51" xfId="7" applyFont="1" applyBorder="1" applyAlignment="1">
      <alignment horizontal="left" wrapText="1"/>
    </xf>
    <xf numFmtId="0" fontId="1" fillId="0" borderId="0" xfId="7" applyAlignment="1">
      <alignment wrapText="1"/>
    </xf>
    <xf numFmtId="0" fontId="95" fillId="0" borderId="16" xfId="7" applyFont="1" applyBorder="1" applyAlignment="1">
      <alignment wrapText="1"/>
    </xf>
    <xf numFmtId="186" fontId="95" fillId="0" borderId="51" xfId="7" applyNumberFormat="1" applyFont="1" applyBorder="1" applyAlignment="1">
      <alignment horizontal="left"/>
    </xf>
    <xf numFmtId="186" fontId="1" fillId="0" borderId="51" xfId="7" applyNumberFormat="1" applyBorder="1"/>
    <xf numFmtId="0" fontId="96" fillId="0" borderId="51" xfId="7" applyFont="1" applyBorder="1" applyAlignment="1">
      <alignment horizontal="left" wrapText="1"/>
    </xf>
    <xf numFmtId="0" fontId="95" fillId="0" borderId="51" xfId="7" applyFont="1" applyBorder="1" applyAlignment="1">
      <alignment wrapText="1"/>
    </xf>
    <xf numFmtId="0" fontId="95" fillId="0" borderId="16" xfId="7" applyFont="1" applyBorder="1"/>
    <xf numFmtId="0" fontId="95" fillId="0" borderId="53" xfId="7" applyFont="1" applyBorder="1"/>
    <xf numFmtId="0" fontId="95" fillId="0" borderId="55" xfId="7" applyFont="1" applyBorder="1" applyAlignment="1">
      <alignment wrapText="1"/>
    </xf>
    <xf numFmtId="165" fontId="97" fillId="0" borderId="0" xfId="0" applyNumberFormat="1" applyFont="1" applyAlignment="1">
      <alignment horizontal="left" vertical="center"/>
    </xf>
    <xf numFmtId="2" fontId="97" fillId="0" borderId="0" xfId="0" applyNumberFormat="1" applyFont="1" applyAlignment="1">
      <alignment vertical="center"/>
    </xf>
    <xf numFmtId="0" fontId="97" fillId="0" borderId="0" xfId="0" applyFont="1" applyAlignment="1">
      <alignment vertical="center"/>
    </xf>
    <xf numFmtId="165" fontId="97" fillId="0" borderId="10" xfId="0" applyNumberFormat="1" applyFont="1" applyBorder="1" applyAlignment="1">
      <alignment horizontal="center" vertical="center"/>
    </xf>
    <xf numFmtId="165" fontId="97" fillId="0" borderId="10" xfId="0" applyNumberFormat="1" applyFont="1" applyBorder="1" applyAlignment="1">
      <alignment horizontal="center" vertical="center" wrapText="1"/>
    </xf>
    <xf numFmtId="165" fontId="97" fillId="0" borderId="10" xfId="0" applyNumberFormat="1" applyFont="1" applyBorder="1" applyAlignment="1">
      <alignment horizontal="center" vertical="center"/>
    </xf>
    <xf numFmtId="0" fontId="97" fillId="0" borderId="0" xfId="0" applyFont="1" applyAlignment="1" applyProtection="1">
      <alignment horizontal="left" vertical="center"/>
      <protection locked="0"/>
    </xf>
    <xf numFmtId="0" fontId="97" fillId="0" borderId="0" xfId="0" applyFont="1" applyAlignment="1" applyProtection="1">
      <alignment vertical="center"/>
      <protection locked="0"/>
    </xf>
    <xf numFmtId="0" fontId="97" fillId="0" borderId="0" xfId="0" applyNumberFormat="1" applyFont="1" applyAlignment="1">
      <alignment vertical="center"/>
    </xf>
    <xf numFmtId="166" fontId="35" fillId="2" borderId="10" xfId="0" applyNumberFormat="1" applyFont="1" applyFill="1" applyBorder="1" applyAlignment="1">
      <alignment horizontal="center" vertical="center"/>
    </xf>
    <xf numFmtId="0" fontId="33" fillId="2" borderId="37" xfId="0" applyFont="1" applyFill="1" applyBorder="1" applyAlignment="1">
      <alignment horizontal="center" vertical="top" wrapText="1"/>
    </xf>
    <xf numFmtId="0" fontId="23" fillId="2" borderId="8" xfId="0" applyNumberFormat="1" applyFont="1" applyFill="1" applyBorder="1" applyAlignment="1">
      <alignment horizontal="center" vertical="center"/>
    </xf>
    <xf numFmtId="2" fontId="35" fillId="2" borderId="22" xfId="0" applyNumberFormat="1" applyFont="1" applyFill="1" applyBorder="1" applyAlignment="1">
      <alignment horizontal="center" vertical="center"/>
    </xf>
    <xf numFmtId="0" fontId="28" fillId="0" borderId="8" xfId="7" applyFont="1" applyBorder="1" applyAlignment="1">
      <alignment horizontal="left" vertical="top" wrapText="1"/>
    </xf>
    <xf numFmtId="0" fontId="28" fillId="0" borderId="12" xfId="7" applyFont="1" applyBorder="1" applyAlignment="1">
      <alignment horizontal="left" vertical="top" wrapText="1"/>
    </xf>
    <xf numFmtId="0" fontId="89" fillId="0" borderId="0" xfId="7" applyFont="1" applyAlignment="1" applyProtection="1">
      <alignment horizontal="center" vertical="center"/>
      <protection locked="0"/>
    </xf>
    <xf numFmtId="186" fontId="91" fillId="0" borderId="0" xfId="7" quotePrefix="1" applyNumberFormat="1" applyFont="1" applyAlignment="1" applyProtection="1">
      <alignment horizontal="center" vertical="center"/>
      <protection locked="0"/>
    </xf>
    <xf numFmtId="186" fontId="91" fillId="0" borderId="0" xfId="7" applyNumberFormat="1" applyFont="1" applyAlignment="1" applyProtection="1">
      <alignment horizontal="center" vertical="center"/>
      <protection locked="0"/>
    </xf>
    <xf numFmtId="0" fontId="28" fillId="0" borderId="0" xfId="7" applyFont="1" applyAlignment="1">
      <alignment horizontal="center"/>
    </xf>
    <xf numFmtId="0" fontId="15" fillId="0" borderId="0" xfId="7" applyFont="1" applyAlignment="1">
      <alignment horizontal="right" vertical="center"/>
    </xf>
    <xf numFmtId="0" fontId="82" fillId="0" borderId="0" xfId="7" applyFont="1" applyAlignment="1">
      <alignment horizontal="center"/>
    </xf>
    <xf numFmtId="0" fontId="91" fillId="0" borderId="0" xfId="7" quotePrefix="1" applyFont="1" applyAlignment="1" applyProtection="1">
      <alignment horizontal="left"/>
      <protection locked="0"/>
    </xf>
    <xf numFmtId="0" fontId="28" fillId="0" borderId="0" xfId="7" applyFont="1" applyAlignment="1">
      <alignment horizontal="left" vertical="center" wrapText="1"/>
    </xf>
    <xf numFmtId="1" fontId="28" fillId="0" borderId="0" xfId="7" applyNumberFormat="1" applyFont="1" applyAlignment="1">
      <alignment horizontal="left" vertical="center" wrapText="1"/>
    </xf>
    <xf numFmtId="0" fontId="92" fillId="0" borderId="0" xfId="7" quotePrefix="1" applyFont="1" applyAlignment="1" applyProtection="1">
      <alignment horizontal="left" vertical="center" wrapText="1"/>
      <protection locked="0"/>
    </xf>
    <xf numFmtId="11" fontId="91" fillId="0" borderId="0" xfId="7" quotePrefix="1" applyNumberFormat="1" applyFont="1" applyAlignment="1" applyProtection="1">
      <alignment horizontal="left"/>
      <protection locked="0"/>
    </xf>
    <xf numFmtId="0" fontId="91" fillId="0" borderId="0" xfId="7" applyFont="1" applyAlignment="1" applyProtection="1">
      <alignment horizontal="left"/>
      <protection locked="0"/>
    </xf>
    <xf numFmtId="0" fontId="28" fillId="0" borderId="0" xfId="7" applyFont="1" applyAlignment="1" applyProtection="1">
      <alignment horizontal="left" vertical="center" wrapText="1"/>
      <protection locked="0"/>
    </xf>
    <xf numFmtId="186" fontId="28" fillId="0" borderId="0" xfId="7" applyNumberFormat="1" applyFont="1" applyAlignment="1">
      <alignment horizontal="left" vertical="center" wrapText="1"/>
    </xf>
    <xf numFmtId="0" fontId="92" fillId="0" borderId="0" xfId="7" applyFont="1" applyAlignment="1" applyProtection="1">
      <alignment horizontal="left" vertical="center" wrapText="1"/>
      <protection locked="0"/>
    </xf>
    <xf numFmtId="0" fontId="28" fillId="0" borderId="0" xfId="7" applyFont="1" applyAlignment="1" applyProtection="1">
      <alignment horizontal="left" vertical="top" wrapText="1"/>
      <protection locked="0"/>
    </xf>
    <xf numFmtId="0" fontId="28" fillId="0" borderId="0" xfId="7" applyFont="1" applyAlignment="1" applyProtection="1">
      <alignment horizontal="justify" vertical="top" wrapText="1"/>
      <protection locked="0"/>
    </xf>
    <xf numFmtId="188" fontId="91" fillId="0" borderId="0" xfId="7" quotePrefix="1" applyNumberFormat="1" applyFont="1" applyAlignment="1" applyProtection="1">
      <alignment horizontal="left" vertical="center"/>
      <protection locked="0"/>
    </xf>
    <xf numFmtId="188" fontId="91" fillId="0" borderId="0" xfId="7" applyNumberFormat="1" applyFont="1" applyAlignment="1" applyProtection="1">
      <alignment horizontal="left" vertical="center"/>
      <protection locked="0"/>
    </xf>
    <xf numFmtId="1" fontId="28" fillId="0" borderId="0" xfId="7" applyNumberFormat="1" applyFont="1" applyAlignment="1">
      <alignment horizontal="left" vertical="top" wrapText="1"/>
    </xf>
    <xf numFmtId="0" fontId="28" fillId="0" borderId="0" xfId="7" applyFont="1" applyAlignment="1">
      <alignment horizontal="left" vertical="top" wrapText="1"/>
    </xf>
    <xf numFmtId="0" fontId="81" fillId="0" borderId="0" xfId="7" applyFont="1" applyAlignment="1">
      <alignment horizontal="center"/>
    </xf>
    <xf numFmtId="0" fontId="28" fillId="3" borderId="0" xfId="7" applyFont="1" applyFill="1" applyAlignment="1">
      <alignment horizontal="justify" vertical="center" wrapText="1"/>
    </xf>
    <xf numFmtId="0" fontId="39" fillId="0" borderId="0" xfId="7" applyFont="1" applyAlignment="1">
      <alignment horizontal="left" vertical="center" wrapText="1"/>
    </xf>
    <xf numFmtId="186" fontId="28" fillId="0" borderId="0" xfId="7" applyNumberFormat="1" applyFont="1" applyAlignment="1">
      <alignment horizontal="left" vertical="top" wrapText="1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49" fillId="0" borderId="1" xfId="0" applyFont="1" applyBorder="1" applyAlignment="1">
      <alignment horizontal="center" vertical="center"/>
    </xf>
    <xf numFmtId="0" fontId="49" fillId="0" borderId="11" xfId="0" applyFont="1" applyBorder="1" applyAlignment="1">
      <alignment horizontal="center" vertical="center"/>
    </xf>
    <xf numFmtId="0" fontId="49" fillId="0" borderId="13" xfId="0" applyFont="1" applyBorder="1" applyAlignment="1">
      <alignment horizontal="center" vertical="center"/>
    </xf>
    <xf numFmtId="0" fontId="49" fillId="0" borderId="1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3" fillId="0" borderId="10" xfId="0" quotePrefix="1" applyFont="1" applyBorder="1" applyAlignment="1">
      <alignment horizontal="center" vertical="center"/>
    </xf>
    <xf numFmtId="0" fontId="41" fillId="0" borderId="10" xfId="0" applyFont="1" applyBorder="1" applyAlignment="1">
      <alignment horizontal="center" vertical="center" wrapText="1"/>
    </xf>
    <xf numFmtId="0" fontId="49" fillId="0" borderId="10" xfId="0" applyFont="1" applyBorder="1" applyAlignment="1">
      <alignment horizontal="center" vertical="center" wrapText="1"/>
    </xf>
    <xf numFmtId="0" fontId="49" fillId="0" borderId="8" xfId="0" applyFont="1" applyBorder="1" applyAlignment="1">
      <alignment horizontal="center" vertical="center"/>
    </xf>
    <xf numFmtId="0" fontId="49" fillId="0" borderId="12" xfId="0" applyFont="1" applyBorder="1" applyAlignment="1">
      <alignment horizontal="center" vertical="center"/>
    </xf>
    <xf numFmtId="0" fontId="49" fillId="0" borderId="9" xfId="0" applyFont="1" applyBorder="1" applyAlignment="1">
      <alignment horizontal="center" vertical="center"/>
    </xf>
    <xf numFmtId="0" fontId="49" fillId="0" borderId="10" xfId="0" applyFont="1" applyBorder="1" applyAlignment="1">
      <alignment horizontal="center" vertical="center"/>
    </xf>
    <xf numFmtId="0" fontId="41" fillId="0" borderId="8" xfId="0" applyFont="1" applyBorder="1" applyAlignment="1">
      <alignment horizontal="center" vertical="center"/>
    </xf>
    <xf numFmtId="0" fontId="41" fillId="0" borderId="9" xfId="0" applyFont="1" applyBorder="1" applyAlignment="1">
      <alignment horizontal="center" vertical="center"/>
    </xf>
    <xf numFmtId="0" fontId="49" fillId="0" borderId="2" xfId="0" applyFont="1" applyBorder="1" applyAlignment="1">
      <alignment horizontal="center" vertical="center"/>
    </xf>
    <xf numFmtId="0" fontId="49" fillId="0" borderId="5" xfId="0" applyFont="1" applyBorder="1" applyAlignment="1">
      <alignment horizontal="center" vertical="center"/>
    </xf>
    <xf numFmtId="0" fontId="49" fillId="0" borderId="6" xfId="0" applyFont="1" applyBorder="1" applyAlignment="1">
      <alignment horizontal="center" vertical="center"/>
    </xf>
    <xf numFmtId="0" fontId="49" fillId="0" borderId="7" xfId="0" applyFont="1" applyBorder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10" xfId="0" applyFont="1" applyBorder="1" applyAlignment="1" applyProtection="1">
      <alignment horizontal="center" vertical="center"/>
      <protection locked="0"/>
    </xf>
    <xf numFmtId="0" fontId="51" fillId="0" borderId="10" xfId="0" quotePrefix="1" applyFont="1" applyBorder="1" applyAlignment="1">
      <alignment horizontal="center" vertical="center"/>
    </xf>
    <xf numFmtId="165" fontId="51" fillId="0" borderId="10" xfId="0" applyNumberFormat="1" applyFont="1" applyBorder="1" applyAlignment="1">
      <alignment horizontal="center" vertical="center"/>
    </xf>
    <xf numFmtId="0" fontId="84" fillId="0" borderId="2" xfId="0" applyFont="1" applyBorder="1" applyAlignment="1" applyProtection="1">
      <alignment horizontal="center" vertical="center" wrapText="1"/>
      <protection locked="0"/>
    </xf>
    <xf numFmtId="0" fontId="84" fillId="0" borderId="5" xfId="0" applyFont="1" applyBorder="1" applyAlignment="1" applyProtection="1">
      <alignment horizontal="center" vertical="center" wrapText="1"/>
      <protection locked="0"/>
    </xf>
    <xf numFmtId="179" fontId="84" fillId="0" borderId="1" xfId="0" applyNumberFormat="1" applyFont="1" applyBorder="1" applyAlignment="1" applyProtection="1">
      <alignment horizontal="center" vertical="center" wrapText="1"/>
      <protection locked="0"/>
    </xf>
    <xf numFmtId="179" fontId="84" fillId="0" borderId="11" xfId="0" applyNumberFormat="1" applyFont="1" applyBorder="1" applyAlignment="1" applyProtection="1">
      <alignment horizontal="center" vertical="center" wrapText="1"/>
      <protection locked="0"/>
    </xf>
    <xf numFmtId="179" fontId="84" fillId="0" borderId="13" xfId="0" applyNumberFormat="1" applyFont="1" applyBorder="1" applyAlignment="1" applyProtection="1">
      <alignment horizontal="center" vertical="center" wrapText="1"/>
      <protection locked="0"/>
    </xf>
    <xf numFmtId="179" fontId="84" fillId="0" borderId="14" xfId="0" applyNumberFormat="1" applyFont="1" applyBorder="1" applyAlignment="1" applyProtection="1">
      <alignment horizontal="center" vertical="center" wrapText="1"/>
      <protection locked="0"/>
    </xf>
    <xf numFmtId="0" fontId="86" fillId="0" borderId="10" xfId="0" applyFont="1" applyBorder="1" applyAlignment="1" applyProtection="1">
      <alignment horizontal="center" vertical="center"/>
      <protection locked="0"/>
    </xf>
    <xf numFmtId="0" fontId="83" fillId="0" borderId="0" xfId="0" applyFont="1" applyAlignment="1" applyProtection="1">
      <alignment horizontal="center" vertical="center"/>
      <protection locked="0"/>
    </xf>
    <xf numFmtId="0" fontId="80" fillId="4" borderId="8" xfId="0" applyFont="1" applyFill="1" applyBorder="1" applyAlignment="1" applyProtection="1">
      <alignment horizontal="left" vertical="center"/>
      <protection locked="0"/>
    </xf>
    <xf numFmtId="0" fontId="80" fillId="4" borderId="12" xfId="0" applyFont="1" applyFill="1" applyBorder="1" applyAlignment="1" applyProtection="1">
      <alignment horizontal="left" vertical="center"/>
      <protection locked="0"/>
    </xf>
    <xf numFmtId="0" fontId="80" fillId="4" borderId="9" xfId="0" applyFont="1" applyFill="1" applyBorder="1" applyAlignment="1" applyProtection="1">
      <alignment horizontal="left" vertical="center"/>
      <protection locked="0"/>
    </xf>
    <xf numFmtId="0" fontId="84" fillId="0" borderId="2" xfId="0" applyFont="1" applyBorder="1" applyAlignment="1" applyProtection="1">
      <alignment horizontal="center" vertical="center"/>
      <protection locked="0"/>
    </xf>
    <xf numFmtId="0" fontId="84" fillId="0" borderId="5" xfId="0" applyFont="1" applyBorder="1" applyAlignment="1" applyProtection="1">
      <alignment horizontal="center" vertical="center"/>
      <protection locked="0"/>
    </xf>
    <xf numFmtId="0" fontId="84" fillId="0" borderId="1" xfId="0" applyFont="1" applyBorder="1" applyAlignment="1" applyProtection="1">
      <alignment horizontal="center" vertical="center"/>
      <protection locked="0"/>
    </xf>
    <xf numFmtId="0" fontId="84" fillId="0" borderId="6" xfId="0" applyFont="1" applyBorder="1" applyAlignment="1" applyProtection="1">
      <alignment horizontal="center" vertical="center"/>
      <protection locked="0"/>
    </xf>
    <xf numFmtId="0" fontId="84" fillId="0" borderId="11" xfId="0" applyFont="1" applyBorder="1" applyAlignment="1" applyProtection="1">
      <alignment horizontal="center" vertical="center"/>
      <protection locked="0"/>
    </xf>
    <xf numFmtId="0" fontId="84" fillId="0" borderId="13" xfId="0" applyFont="1" applyBorder="1" applyAlignment="1" applyProtection="1">
      <alignment horizontal="center" vertical="center"/>
      <protection locked="0"/>
    </xf>
    <xf numFmtId="0" fontId="84" fillId="0" borderId="7" xfId="0" applyFont="1" applyBorder="1" applyAlignment="1" applyProtection="1">
      <alignment horizontal="center" vertical="center"/>
      <protection locked="0"/>
    </xf>
    <xf numFmtId="0" fontId="84" fillId="0" borderId="14" xfId="0" applyFont="1" applyBorder="1" applyAlignment="1" applyProtection="1">
      <alignment horizontal="center" vertical="center"/>
      <protection locked="0"/>
    </xf>
    <xf numFmtId="0" fontId="80" fillId="4" borderId="8" xfId="0" applyFont="1" applyFill="1" applyBorder="1" applyAlignment="1" applyProtection="1">
      <alignment vertical="center"/>
      <protection locked="0"/>
    </xf>
    <xf numFmtId="0" fontId="80" fillId="4" borderId="12" xfId="0" applyFont="1" applyFill="1" applyBorder="1" applyAlignment="1" applyProtection="1">
      <alignment vertical="center"/>
      <protection locked="0"/>
    </xf>
    <xf numFmtId="0" fontId="80" fillId="4" borderId="9" xfId="0" applyFont="1" applyFill="1" applyBorder="1" applyAlignment="1" applyProtection="1">
      <alignment vertical="center"/>
      <protection locked="0"/>
    </xf>
    <xf numFmtId="0" fontId="51" fillId="0" borderId="0" xfId="0" applyFont="1" applyAlignment="1" applyProtection="1">
      <alignment horizontal="right" vertical="center"/>
      <protection locked="0"/>
    </xf>
    <xf numFmtId="0" fontId="51" fillId="4" borderId="0" xfId="0" applyFont="1" applyFill="1" applyAlignment="1" applyProtection="1">
      <alignment horizontal="left" vertical="center"/>
      <protection locked="0"/>
    </xf>
    <xf numFmtId="0" fontId="84" fillId="0" borderId="1" xfId="0" applyFont="1" applyBorder="1" applyAlignment="1" applyProtection="1">
      <alignment horizontal="center" vertical="center" wrapText="1"/>
      <protection locked="0"/>
    </xf>
    <xf numFmtId="0" fontId="84" fillId="0" borderId="11" xfId="0" applyFont="1" applyBorder="1" applyAlignment="1" applyProtection="1">
      <alignment horizontal="center" vertical="center" wrapText="1"/>
      <protection locked="0"/>
    </xf>
    <xf numFmtId="0" fontId="84" fillId="0" borderId="13" xfId="0" applyFont="1" applyBorder="1" applyAlignment="1" applyProtection="1">
      <alignment horizontal="center" vertical="center" wrapText="1"/>
      <protection locked="0"/>
    </xf>
    <xf numFmtId="0" fontId="84" fillId="0" borderId="14" xfId="0" applyFont="1" applyBorder="1" applyAlignment="1" applyProtection="1">
      <alignment horizontal="center" vertical="center" wrapText="1"/>
      <protection locked="0"/>
    </xf>
    <xf numFmtId="186" fontId="51" fillId="4" borderId="0" xfId="0" quotePrefix="1" applyNumberFormat="1" applyFont="1" applyFill="1" applyAlignment="1" applyProtection="1">
      <alignment horizontal="left" vertical="center"/>
      <protection locked="0"/>
    </xf>
    <xf numFmtId="165" fontId="80" fillId="4" borderId="10" xfId="0" applyNumberFormat="1" applyFont="1" applyFill="1" applyBorder="1" applyAlignment="1" applyProtection="1">
      <alignment horizontal="center" vertical="center"/>
      <protection locked="0"/>
    </xf>
    <xf numFmtId="0" fontId="51" fillId="0" borderId="0" xfId="0" applyFont="1" applyAlignment="1" applyProtection="1">
      <alignment horizontal="left" vertical="center" wrapText="1"/>
      <protection locked="0"/>
    </xf>
    <xf numFmtId="0" fontId="84" fillId="0" borderId="10" xfId="0" applyFont="1" applyBorder="1" applyAlignment="1" applyProtection="1">
      <alignment horizontal="center" vertical="center"/>
      <protection locked="0"/>
    </xf>
    <xf numFmtId="0" fontId="51" fillId="4" borderId="10" xfId="0" quotePrefix="1" applyFont="1" applyFill="1" applyBorder="1" applyAlignment="1" applyProtection="1">
      <alignment horizontal="center" vertical="center"/>
      <protection locked="0"/>
    </xf>
    <xf numFmtId="0" fontId="51" fillId="4" borderId="10" xfId="0" applyFont="1" applyFill="1" applyBorder="1" applyAlignment="1" applyProtection="1">
      <alignment horizontal="center" vertical="center"/>
      <protection locked="0"/>
    </xf>
    <xf numFmtId="0" fontId="84" fillId="0" borderId="12" xfId="0" applyFont="1" applyBorder="1" applyAlignment="1" applyProtection="1">
      <alignment horizontal="center" vertical="center"/>
      <protection locked="0"/>
    </xf>
    <xf numFmtId="0" fontId="80" fillId="4" borderId="0" xfId="0" applyFont="1" applyFill="1" applyAlignment="1" applyProtection="1">
      <alignment horizontal="left" vertical="center"/>
      <protection locked="0"/>
    </xf>
    <xf numFmtId="0" fontId="51" fillId="4" borderId="10" xfId="0" applyFont="1" applyFill="1" applyBorder="1" applyAlignment="1" applyProtection="1">
      <alignment horizontal="center" vertical="center" wrapText="1"/>
      <protection locked="0"/>
    </xf>
    <xf numFmtId="0" fontId="19" fillId="0" borderId="10" xfId="0" applyFont="1" applyBorder="1" applyAlignment="1">
      <alignment horizontal="center" vertical="center"/>
    </xf>
    <xf numFmtId="0" fontId="41" fillId="0" borderId="10" xfId="0" applyFont="1" applyBorder="1" applyAlignment="1">
      <alignment vertical="center"/>
    </xf>
    <xf numFmtId="0" fontId="41" fillId="0" borderId="10" xfId="0" applyFont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" fontId="56" fillId="3" borderId="0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6" fillId="0" borderId="10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41" fillId="0" borderId="5" xfId="0" applyFont="1" applyBorder="1" applyAlignment="1">
      <alignment horizontal="center" vertical="center"/>
    </xf>
    <xf numFmtId="0" fontId="49" fillId="0" borderId="10" xfId="2" applyFont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49" fillId="0" borderId="2" xfId="0" applyFont="1" applyBorder="1" applyAlignment="1">
      <alignment horizontal="center" vertical="center" wrapText="1"/>
    </xf>
    <xf numFmtId="0" fontId="49" fillId="0" borderId="5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 wrapText="1"/>
    </xf>
    <xf numFmtId="0" fontId="49" fillId="0" borderId="11" xfId="0" applyFont="1" applyBorder="1" applyAlignment="1">
      <alignment horizontal="center" vertical="center" wrapText="1"/>
    </xf>
    <xf numFmtId="0" fontId="49" fillId="0" borderId="13" xfId="0" applyFont="1" applyBorder="1" applyAlignment="1">
      <alignment horizontal="center" vertical="center" wrapText="1"/>
    </xf>
    <xf numFmtId="0" fontId="49" fillId="0" borderId="14" xfId="0" applyFont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 wrapText="1"/>
    </xf>
    <xf numFmtId="0" fontId="49" fillId="0" borderId="2" xfId="0" applyFont="1" applyBorder="1" applyAlignment="1" applyProtection="1">
      <alignment horizontal="center" vertical="center" wrapText="1"/>
      <protection hidden="1"/>
    </xf>
    <xf numFmtId="0" fontId="49" fillId="0" borderId="5" xfId="0" applyFont="1" applyBorder="1" applyAlignment="1" applyProtection="1">
      <alignment horizontal="center" vertical="center" wrapText="1"/>
      <protection hidden="1"/>
    </xf>
    <xf numFmtId="172" fontId="50" fillId="6" borderId="1" xfId="0" applyNumberFormat="1" applyFont="1" applyFill="1" applyBorder="1" applyAlignment="1">
      <alignment horizontal="center" vertical="center"/>
    </xf>
    <xf numFmtId="172" fontId="50" fillId="6" borderId="11" xfId="0" applyNumberFormat="1" applyFont="1" applyFill="1" applyBorder="1" applyAlignment="1">
      <alignment horizontal="center" vertical="center"/>
    </xf>
    <xf numFmtId="172" fontId="50" fillId="6" borderId="13" xfId="0" applyNumberFormat="1" applyFont="1" applyFill="1" applyBorder="1" applyAlignment="1">
      <alignment horizontal="center" vertical="center"/>
    </xf>
    <xf numFmtId="172" fontId="50" fillId="6" borderId="14" xfId="0" applyNumberFormat="1" applyFont="1" applyFill="1" applyBorder="1" applyAlignment="1">
      <alignment horizontal="center" vertical="center"/>
    </xf>
    <xf numFmtId="0" fontId="41" fillId="0" borderId="0" xfId="0" applyFont="1" applyAlignment="1" applyProtection="1">
      <alignment horizontal="left" vertical="top" wrapText="1"/>
      <protection locked="0"/>
    </xf>
    <xf numFmtId="1" fontId="41" fillId="0" borderId="10" xfId="0" applyNumberFormat="1" applyFont="1" applyBorder="1" applyAlignment="1">
      <alignment horizontal="center" vertical="center"/>
    </xf>
    <xf numFmtId="165" fontId="41" fillId="0" borderId="10" xfId="0" applyNumberFormat="1" applyFont="1" applyBorder="1" applyAlignment="1">
      <alignment horizontal="center" vertical="center"/>
    </xf>
    <xf numFmtId="178" fontId="41" fillId="0" borderId="10" xfId="0" quotePrefix="1" applyNumberFormat="1" applyFont="1" applyBorder="1" applyAlignment="1">
      <alignment horizontal="center" vertical="center"/>
    </xf>
    <xf numFmtId="0" fontId="40" fillId="0" borderId="34" xfId="0" applyFont="1" applyBorder="1" applyAlignment="1">
      <alignment horizontal="center"/>
    </xf>
    <xf numFmtId="0" fontId="40" fillId="0" borderId="35" xfId="0" applyFont="1" applyBorder="1" applyAlignment="1">
      <alignment horizontal="center"/>
    </xf>
    <xf numFmtId="0" fontId="40" fillId="0" borderId="36" xfId="0" applyFont="1" applyBorder="1" applyAlignment="1">
      <alignment horizontal="center"/>
    </xf>
    <xf numFmtId="0" fontId="40" fillId="0" borderId="34" xfId="0" applyFont="1" applyBorder="1" applyAlignment="1">
      <alignment horizontal="center" vertical="center"/>
    </xf>
    <xf numFmtId="0" fontId="40" fillId="0" borderId="35" xfId="0" applyFont="1" applyBorder="1" applyAlignment="1">
      <alignment horizontal="center" vertical="center"/>
    </xf>
    <xf numFmtId="0" fontId="40" fillId="0" borderId="58" xfId="0" applyFont="1" applyBorder="1" applyAlignment="1">
      <alignment horizontal="center" vertical="center"/>
    </xf>
    <xf numFmtId="2" fontId="41" fillId="3" borderId="10" xfId="0" applyNumberFormat="1" applyFont="1" applyFill="1" applyBorder="1" applyAlignment="1">
      <alignment horizontal="center" vertical="center"/>
    </xf>
    <xf numFmtId="165" fontId="97" fillId="0" borderId="10" xfId="0" applyNumberFormat="1" applyFont="1" applyBorder="1" applyAlignment="1">
      <alignment horizontal="center" vertical="center"/>
    </xf>
    <xf numFmtId="0" fontId="43" fillId="0" borderId="2" xfId="0" applyFont="1" applyBorder="1" applyAlignment="1">
      <alignment horizontal="center" vertical="center" wrapText="1"/>
    </xf>
    <xf numFmtId="0" fontId="43" fillId="0" borderId="5" xfId="0" applyFont="1" applyBorder="1" applyAlignment="1">
      <alignment horizontal="center" vertical="center" wrapText="1"/>
    </xf>
    <xf numFmtId="0" fontId="56" fillId="0" borderId="0" xfId="0" applyFont="1" applyAlignment="1" applyProtection="1">
      <alignment horizontal="left" vertical="center" wrapText="1"/>
      <protection locked="0"/>
    </xf>
    <xf numFmtId="0" fontId="56" fillId="0" borderId="10" xfId="0" applyFont="1" applyBorder="1" applyAlignment="1">
      <alignment horizontal="left" vertical="center"/>
    </xf>
    <xf numFmtId="1" fontId="97" fillId="0" borderId="8" xfId="0" applyNumberFormat="1" applyFont="1" applyBorder="1" applyAlignment="1">
      <alignment horizontal="center" vertical="center"/>
    </xf>
    <xf numFmtId="1" fontId="97" fillId="0" borderId="9" xfId="0" applyNumberFormat="1" applyFont="1" applyBorder="1" applyAlignment="1">
      <alignment horizontal="center" vertical="center"/>
    </xf>
    <xf numFmtId="0" fontId="43" fillId="0" borderId="1" xfId="0" applyFont="1" applyBorder="1" applyAlignment="1">
      <alignment horizontal="center" vertical="center" wrapText="1"/>
    </xf>
    <xf numFmtId="0" fontId="43" fillId="0" borderId="11" xfId="0" applyFont="1" applyBorder="1" applyAlignment="1">
      <alignment horizontal="center" vertical="center" wrapText="1"/>
    </xf>
    <xf numFmtId="0" fontId="43" fillId="0" borderId="13" xfId="0" applyFont="1" applyBorder="1" applyAlignment="1">
      <alignment horizontal="center" vertical="center" wrapText="1"/>
    </xf>
    <xf numFmtId="0" fontId="43" fillId="0" borderId="14" xfId="0" applyFont="1" applyBorder="1" applyAlignment="1">
      <alignment horizontal="center" vertical="center" wrapText="1"/>
    </xf>
    <xf numFmtId="0" fontId="56" fillId="0" borderId="10" xfId="0" applyFont="1" applyBorder="1" applyAlignment="1">
      <alignment horizontal="center" vertical="center"/>
    </xf>
    <xf numFmtId="1" fontId="97" fillId="0" borderId="10" xfId="0" applyNumberFormat="1" applyFont="1" applyBorder="1" applyAlignment="1">
      <alignment horizontal="center" vertical="center"/>
    </xf>
    <xf numFmtId="0" fontId="43" fillId="0" borderId="10" xfId="0" applyFont="1" applyBorder="1" applyAlignment="1">
      <alignment horizontal="center" vertical="center" wrapText="1"/>
    </xf>
    <xf numFmtId="0" fontId="57" fillId="0" borderId="0" xfId="0" applyFont="1" applyAlignment="1">
      <alignment horizontal="center" vertical="center"/>
    </xf>
    <xf numFmtId="0" fontId="43" fillId="0" borderId="10" xfId="0" applyFont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58" fillId="0" borderId="10" xfId="0" quotePrefix="1" applyFont="1" applyBorder="1" applyAlignment="1">
      <alignment horizontal="center" vertical="center"/>
    </xf>
    <xf numFmtId="0" fontId="56" fillId="0" borderId="10" xfId="0" applyFont="1" applyBorder="1" applyAlignment="1">
      <alignment horizontal="center" vertical="center" wrapText="1"/>
    </xf>
    <xf numFmtId="2" fontId="30" fillId="2" borderId="0" xfId="5" applyNumberFormat="1" applyFont="1" applyFill="1" applyBorder="1" applyAlignment="1">
      <alignment horizontal="center" vertical="center"/>
    </xf>
    <xf numFmtId="2" fontId="42" fillId="5" borderId="52" xfId="0" applyNumberFormat="1" applyFont="1" applyFill="1" applyBorder="1" applyAlignment="1">
      <alignment horizontal="center" vertical="center"/>
    </xf>
    <xf numFmtId="2" fontId="42" fillId="5" borderId="7" xfId="0" applyNumberFormat="1" applyFont="1" applyFill="1" applyBorder="1" applyAlignment="1">
      <alignment horizontal="center" vertical="center"/>
    </xf>
    <xf numFmtId="2" fontId="70" fillId="2" borderId="10" xfId="0" applyNumberFormat="1" applyFont="1" applyFill="1" applyBorder="1" applyAlignment="1">
      <alignment horizontal="center" vertical="center" wrapText="1"/>
    </xf>
    <xf numFmtId="2" fontId="22" fillId="0" borderId="10" xfId="0" applyNumberFormat="1" applyFont="1" applyBorder="1" applyAlignment="1">
      <alignment horizontal="center" vertical="center"/>
    </xf>
    <xf numFmtId="2" fontId="70" fillId="0" borderId="10" xfId="0" applyNumberFormat="1" applyFont="1" applyBorder="1" applyAlignment="1">
      <alignment horizontal="center" vertical="center" wrapText="1"/>
    </xf>
    <xf numFmtId="2" fontId="27" fillId="0" borderId="10" xfId="5" applyNumberFormat="1" applyFont="1" applyBorder="1" applyAlignment="1">
      <alignment horizontal="center"/>
    </xf>
    <xf numFmtId="2" fontId="27" fillId="0" borderId="10" xfId="5" applyNumberFormat="1" applyFont="1" applyBorder="1" applyAlignment="1">
      <alignment horizontal="center" vertical="center"/>
    </xf>
    <xf numFmtId="2" fontId="20" fillId="0" borderId="10" xfId="0" applyNumberFormat="1" applyFont="1" applyBorder="1" applyAlignment="1">
      <alignment horizontal="center" vertical="center"/>
    </xf>
    <xf numFmtId="2" fontId="20" fillId="0" borderId="10" xfId="0" applyNumberFormat="1" applyFont="1" applyBorder="1" applyAlignment="1">
      <alignment horizontal="center" vertical="center" wrapText="1"/>
    </xf>
    <xf numFmtId="2" fontId="1" fillId="0" borderId="2" xfId="5" applyNumberFormat="1" applyBorder="1" applyAlignment="1">
      <alignment horizontal="center" vertical="center"/>
    </xf>
    <xf numFmtId="2" fontId="1" fillId="0" borderId="5" xfId="5" applyNumberFormat="1" applyBorder="1" applyAlignment="1">
      <alignment horizontal="center" vertical="center"/>
    </xf>
    <xf numFmtId="2" fontId="20" fillId="0" borderId="8" xfId="0" applyNumberFormat="1" applyFont="1" applyBorder="1" applyAlignment="1">
      <alignment horizontal="center" vertical="center" wrapText="1"/>
    </xf>
    <xf numFmtId="2" fontId="20" fillId="0" borderId="12" xfId="0" applyNumberFormat="1" applyFont="1" applyBorder="1" applyAlignment="1">
      <alignment horizontal="center" vertical="center" wrapText="1"/>
    </xf>
    <xf numFmtId="2" fontId="20" fillId="0" borderId="9" xfId="0" applyNumberFormat="1" applyFont="1" applyBorder="1" applyAlignment="1">
      <alignment horizontal="center" vertical="center" wrapText="1"/>
    </xf>
    <xf numFmtId="2" fontId="20" fillId="0" borderId="2" xfId="0" applyNumberFormat="1" applyFont="1" applyBorder="1" applyAlignment="1">
      <alignment horizontal="center" vertical="center"/>
    </xf>
    <xf numFmtId="2" fontId="20" fillId="0" borderId="5" xfId="0" applyNumberFormat="1" applyFont="1" applyBorder="1" applyAlignment="1">
      <alignment horizontal="center" vertical="center"/>
    </xf>
    <xf numFmtId="2" fontId="32" fillId="0" borderId="10" xfId="0" applyNumberFormat="1" applyFont="1" applyBorder="1" applyAlignment="1">
      <alignment horizontal="center" vertical="center"/>
    </xf>
    <xf numFmtId="2" fontId="32" fillId="2" borderId="10" xfId="0" applyNumberFormat="1" applyFont="1" applyFill="1" applyBorder="1" applyAlignment="1">
      <alignment horizontal="center" vertical="center" wrapText="1"/>
    </xf>
    <xf numFmtId="2" fontId="1" fillId="8" borderId="10" xfId="0" applyNumberFormat="1" applyFont="1" applyFill="1" applyBorder="1" applyAlignment="1">
      <alignment horizontal="center" vertical="center"/>
    </xf>
    <xf numFmtId="2" fontId="43" fillId="5" borderId="16" xfId="0" applyNumberFormat="1" applyFont="1" applyFill="1" applyBorder="1" applyAlignment="1">
      <alignment horizontal="center" vertical="center" wrapText="1"/>
    </xf>
    <xf numFmtId="2" fontId="43" fillId="5" borderId="0" xfId="0" applyNumberFormat="1" applyFont="1" applyFill="1" applyAlignment="1">
      <alignment horizontal="center" vertical="center" wrapText="1"/>
    </xf>
    <xf numFmtId="2" fontId="32" fillId="8" borderId="10" xfId="0" applyNumberFormat="1" applyFont="1" applyFill="1" applyBorder="1" applyAlignment="1">
      <alignment horizontal="center" vertical="center"/>
    </xf>
    <xf numFmtId="2" fontId="22" fillId="8" borderId="10" xfId="0" applyNumberFormat="1" applyFont="1" applyFill="1" applyBorder="1" applyAlignment="1">
      <alignment horizontal="center" vertical="center" wrapText="1"/>
    </xf>
    <xf numFmtId="2" fontId="28" fillId="8" borderId="10" xfId="5" applyNumberFormat="1" applyFont="1" applyFill="1" applyBorder="1" applyAlignment="1">
      <alignment horizontal="center"/>
    </xf>
    <xf numFmtId="2" fontId="28" fillId="8" borderId="8" xfId="5" applyNumberFormat="1" applyFont="1" applyFill="1" applyBorder="1" applyAlignment="1">
      <alignment horizontal="center"/>
    </xf>
    <xf numFmtId="2" fontId="28" fillId="8" borderId="12" xfId="5" applyNumberFormat="1" applyFont="1" applyFill="1" applyBorder="1" applyAlignment="1">
      <alignment horizontal="center"/>
    </xf>
    <xf numFmtId="2" fontId="28" fillId="8" borderId="9" xfId="5" applyNumberFormat="1" applyFont="1" applyFill="1" applyBorder="1" applyAlignment="1">
      <alignment horizontal="center"/>
    </xf>
    <xf numFmtId="2" fontId="32" fillId="2" borderId="10" xfId="0" applyNumberFormat="1" applyFont="1" applyFill="1" applyBorder="1" applyAlignment="1">
      <alignment horizontal="center" vertical="center"/>
    </xf>
    <xf numFmtId="2" fontId="28" fillId="8" borderId="10" xfId="5" applyNumberFormat="1" applyFont="1" applyFill="1" applyBorder="1" applyAlignment="1">
      <alignment horizontal="center" vertical="center"/>
    </xf>
    <xf numFmtId="2" fontId="20" fillId="2" borderId="10" xfId="0" applyNumberFormat="1" applyFont="1" applyFill="1" applyBorder="1" applyAlignment="1">
      <alignment horizontal="center" vertical="center" wrapText="1"/>
    </xf>
    <xf numFmtId="2" fontId="1" fillId="8" borderId="10" xfId="0" applyNumberFormat="1" applyFont="1" applyFill="1" applyBorder="1" applyAlignment="1">
      <alignment horizontal="center" vertical="center" wrapText="1"/>
    </xf>
    <xf numFmtId="2" fontId="45" fillId="2" borderId="10" xfId="0" applyNumberFormat="1" applyFont="1" applyFill="1" applyBorder="1" applyAlignment="1">
      <alignment horizontal="center" vertical="center" wrapText="1"/>
    </xf>
    <xf numFmtId="2" fontId="34" fillId="2" borderId="73" xfId="0" applyNumberFormat="1" applyFont="1" applyFill="1" applyBorder="1" applyAlignment="1">
      <alignment horizontal="center" vertical="center" wrapText="1"/>
    </xf>
    <xf numFmtId="2" fontId="34" fillId="2" borderId="9" xfId="0" applyNumberFormat="1" applyFont="1" applyFill="1" applyBorder="1" applyAlignment="1">
      <alignment horizontal="center" vertical="center" wrapText="1"/>
    </xf>
    <xf numFmtId="2" fontId="34" fillId="2" borderId="63" xfId="0" applyNumberFormat="1" applyFont="1" applyFill="1" applyBorder="1" applyAlignment="1">
      <alignment horizontal="center" vertical="center" wrapText="1"/>
    </xf>
    <xf numFmtId="2" fontId="34" fillId="2" borderId="37" xfId="0" applyNumberFormat="1" applyFont="1" applyFill="1" applyBorder="1" applyAlignment="1">
      <alignment horizontal="center" vertical="center" wrapText="1"/>
    </xf>
    <xf numFmtId="2" fontId="34" fillId="2" borderId="4" xfId="0" applyNumberFormat="1" applyFont="1" applyFill="1" applyBorder="1" applyAlignment="1">
      <alignment horizontal="center" vertical="center" wrapText="1"/>
    </xf>
    <xf numFmtId="2" fontId="34" fillId="2" borderId="66" xfId="0" applyNumberFormat="1" applyFont="1" applyFill="1" applyBorder="1" applyAlignment="1">
      <alignment horizontal="center" vertical="center" wrapText="1"/>
    </xf>
    <xf numFmtId="2" fontId="32" fillId="2" borderId="38" xfId="0" applyNumberFormat="1" applyFont="1" applyFill="1" applyBorder="1" applyAlignment="1">
      <alignment horizontal="center" vertical="center" wrapText="1"/>
    </xf>
    <xf numFmtId="2" fontId="32" fillId="2" borderId="39" xfId="0" applyNumberFormat="1" applyFont="1" applyFill="1" applyBorder="1" applyAlignment="1">
      <alignment horizontal="center" vertical="center" wrapText="1"/>
    </xf>
    <xf numFmtId="2" fontId="32" fillId="2" borderId="43" xfId="0" applyNumberFormat="1" applyFont="1" applyFill="1" applyBorder="1" applyAlignment="1">
      <alignment horizontal="center" vertical="center" wrapText="1"/>
    </xf>
    <xf numFmtId="2" fontId="27" fillId="2" borderId="10" xfId="5" applyNumberFormat="1" applyFont="1" applyFill="1" applyBorder="1" applyAlignment="1">
      <alignment horizontal="center" vertical="center" wrapText="1"/>
    </xf>
    <xf numFmtId="2" fontId="20" fillId="2" borderId="10" xfId="0" applyNumberFormat="1" applyFont="1" applyFill="1" applyBorder="1" applyAlignment="1">
      <alignment horizontal="center" vertical="center"/>
    </xf>
    <xf numFmtId="2" fontId="65" fillId="2" borderId="0" xfId="0" applyNumberFormat="1" applyFont="1" applyFill="1" applyAlignment="1">
      <alignment horizontal="center" vertical="center" wrapText="1"/>
    </xf>
    <xf numFmtId="2" fontId="40" fillId="0" borderId="34" xfId="0" applyNumberFormat="1" applyFont="1" applyBorder="1" applyAlignment="1">
      <alignment horizontal="center"/>
    </xf>
    <xf numFmtId="2" fontId="40" fillId="0" borderId="35" xfId="0" applyNumberFormat="1" applyFont="1" applyBorder="1" applyAlignment="1">
      <alignment horizontal="center"/>
    </xf>
    <xf numFmtId="2" fontId="40" fillId="0" borderId="58" xfId="0" applyNumberFormat="1" applyFont="1" applyBorder="1" applyAlignment="1">
      <alignment horizontal="center"/>
    </xf>
    <xf numFmtId="1" fontId="32" fillId="8" borderId="29" xfId="0" applyNumberFormat="1" applyFont="1" applyFill="1" applyBorder="1" applyAlignment="1">
      <alignment horizontal="center"/>
    </xf>
    <xf numFmtId="1" fontId="32" fillId="8" borderId="32" xfId="0" applyNumberFormat="1" applyFont="1" applyFill="1" applyBorder="1" applyAlignment="1">
      <alignment horizontal="center"/>
    </xf>
    <xf numFmtId="1" fontId="32" fillId="8" borderId="30" xfId="0" applyNumberFormat="1" applyFont="1" applyFill="1" applyBorder="1" applyAlignment="1">
      <alignment horizontal="center"/>
    </xf>
    <xf numFmtId="2" fontId="30" fillId="2" borderId="22" xfId="5" applyNumberFormat="1" applyFont="1" applyFill="1" applyBorder="1" applyAlignment="1">
      <alignment horizontal="center" vertical="center"/>
    </xf>
    <xf numFmtId="2" fontId="30" fillId="2" borderId="24" xfId="5" applyNumberFormat="1" applyFont="1" applyFill="1" applyBorder="1" applyAlignment="1">
      <alignment horizontal="center" vertical="center"/>
    </xf>
    <xf numFmtId="2" fontId="30" fillId="2" borderId="23" xfId="5" applyNumberFormat="1" applyFont="1" applyFill="1" applyBorder="1" applyAlignment="1">
      <alignment horizontal="center" vertical="center"/>
    </xf>
    <xf numFmtId="0" fontId="46" fillId="2" borderId="19" xfId="5" applyNumberFormat="1" applyFont="1" applyFill="1" applyBorder="1" applyAlignment="1">
      <alignment horizontal="center" vertical="center"/>
    </xf>
    <xf numFmtId="2" fontId="46" fillId="2" borderId="20" xfId="5" applyNumberFormat="1" applyFont="1" applyFill="1" applyBorder="1" applyAlignment="1">
      <alignment horizontal="center" vertical="center"/>
    </xf>
    <xf numFmtId="2" fontId="46" fillId="2" borderId="21" xfId="5" applyNumberFormat="1" applyFont="1" applyFill="1" applyBorder="1" applyAlignment="1">
      <alignment horizontal="center" vertical="center"/>
    </xf>
    <xf numFmtId="2" fontId="33" fillId="2" borderId="0" xfId="0" applyNumberFormat="1" applyFont="1" applyFill="1" applyAlignment="1">
      <alignment horizontal="center" vertical="center" wrapText="1"/>
    </xf>
    <xf numFmtId="2" fontId="34" fillId="9" borderId="22" xfId="0" applyNumberFormat="1" applyFont="1" applyFill="1" applyBorder="1" applyAlignment="1">
      <alignment horizontal="center" vertical="center"/>
    </xf>
    <xf numFmtId="2" fontId="34" fillId="9" borderId="23" xfId="0" applyNumberFormat="1" applyFont="1" applyFill="1" applyBorder="1" applyAlignment="1">
      <alignment horizontal="center" vertical="center"/>
    </xf>
    <xf numFmtId="2" fontId="20" fillId="9" borderId="10" xfId="0" applyNumberFormat="1" applyFont="1" applyFill="1" applyBorder="1" applyAlignment="1">
      <alignment horizontal="center" vertical="center"/>
    </xf>
    <xf numFmtId="2" fontId="27" fillId="9" borderId="10" xfId="5" applyNumberFormat="1" applyFont="1" applyFill="1" applyBorder="1" applyAlignment="1">
      <alignment horizontal="center" vertical="center"/>
    </xf>
    <xf numFmtId="2" fontId="37" fillId="9" borderId="10" xfId="5" applyNumberFormat="1" applyFont="1" applyFill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33" fillId="9" borderId="10" xfId="5" applyNumberFormat="1" applyFont="1" applyFill="1" applyBorder="1" applyAlignment="1">
      <alignment horizontal="center" vertical="center"/>
    </xf>
    <xf numFmtId="2" fontId="46" fillId="5" borderId="16" xfId="0" applyNumberFormat="1" applyFont="1" applyFill="1" applyBorder="1" applyAlignment="1">
      <alignment horizontal="center" vertical="center"/>
    </xf>
    <xf numFmtId="2" fontId="46" fillId="5" borderId="0" xfId="0" applyNumberFormat="1" applyFont="1" applyFill="1" applyAlignment="1">
      <alignment horizontal="center" vertical="center"/>
    </xf>
    <xf numFmtId="2" fontId="0" fillId="0" borderId="48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53" xfId="0" applyNumberFormat="1" applyBorder="1" applyAlignment="1">
      <alignment horizontal="center" vertical="center"/>
    </xf>
    <xf numFmtId="2" fontId="20" fillId="9" borderId="8" xfId="0" applyNumberFormat="1" applyFont="1" applyFill="1" applyBorder="1" applyAlignment="1">
      <alignment horizontal="center" vertical="center"/>
    </xf>
    <xf numFmtId="2" fontId="20" fillId="9" borderId="12" xfId="0" applyNumberFormat="1" applyFont="1" applyFill="1" applyBorder="1" applyAlignment="1">
      <alignment horizontal="center" vertical="center"/>
    </xf>
    <xf numFmtId="2" fontId="20" fillId="9" borderId="9" xfId="0" applyNumberFormat="1" applyFont="1" applyFill="1" applyBorder="1" applyAlignment="1">
      <alignment horizontal="center" vertical="center"/>
    </xf>
    <xf numFmtId="2" fontId="30" fillId="9" borderId="10" xfId="0" applyNumberFormat="1" applyFont="1" applyFill="1" applyBorder="1" applyAlignment="1">
      <alignment horizontal="center" vertical="center"/>
    </xf>
    <xf numFmtId="2" fontId="30" fillId="9" borderId="10" xfId="0" applyNumberFormat="1" applyFont="1" applyFill="1" applyBorder="1" applyAlignment="1">
      <alignment horizontal="center" vertical="center" wrapText="1"/>
    </xf>
    <xf numFmtId="2" fontId="30" fillId="9" borderId="24" xfId="0" applyNumberFormat="1" applyFont="1" applyFill="1" applyBorder="1" applyAlignment="1">
      <alignment horizontal="center" vertical="center"/>
    </xf>
    <xf numFmtId="2" fontId="30" fillId="9" borderId="24" xfId="0" applyNumberFormat="1" applyFont="1" applyFill="1" applyBorder="1" applyAlignment="1">
      <alignment horizontal="center" vertical="center" wrapText="1"/>
    </xf>
    <xf numFmtId="2" fontId="33" fillId="9" borderId="24" xfId="5" applyNumberFormat="1" applyFont="1" applyFill="1" applyBorder="1" applyAlignment="1">
      <alignment horizontal="center" vertical="center"/>
    </xf>
    <xf numFmtId="2" fontId="33" fillId="9" borderId="23" xfId="5" applyNumberFormat="1" applyFont="1" applyFill="1" applyBorder="1" applyAlignment="1">
      <alignment horizontal="center" vertical="center"/>
    </xf>
    <xf numFmtId="2" fontId="33" fillId="3" borderId="22" xfId="0" applyNumberFormat="1" applyFont="1" applyFill="1" applyBorder="1" applyAlignment="1">
      <alignment horizontal="center" vertical="center"/>
    </xf>
    <xf numFmtId="2" fontId="33" fillId="3" borderId="23" xfId="0" applyNumberFormat="1" applyFont="1" applyFill="1" applyBorder="1" applyAlignment="1">
      <alignment horizontal="center" vertical="center"/>
    </xf>
    <xf numFmtId="2" fontId="31" fillId="9" borderId="10" xfId="0" applyNumberFormat="1" applyFont="1" applyFill="1" applyBorder="1" applyAlignment="1">
      <alignment horizontal="center" vertical="center"/>
    </xf>
    <xf numFmtId="2" fontId="31" fillId="9" borderId="1" xfId="0" applyNumberFormat="1" applyFont="1" applyFill="1" applyBorder="1" applyAlignment="1">
      <alignment horizontal="center" vertical="center"/>
    </xf>
    <xf numFmtId="2" fontId="31" fillId="9" borderId="6" xfId="0" applyNumberFormat="1" applyFont="1" applyFill="1" applyBorder="1" applyAlignment="1">
      <alignment horizontal="center" vertical="center"/>
    </xf>
    <xf numFmtId="2" fontId="31" fillId="9" borderId="11" xfId="0" applyNumberFormat="1" applyFont="1" applyFill="1" applyBorder="1" applyAlignment="1">
      <alignment horizontal="center" vertical="center"/>
    </xf>
    <xf numFmtId="2" fontId="31" fillId="9" borderId="28" xfId="0" applyNumberFormat="1" applyFont="1" applyFill="1" applyBorder="1" applyAlignment="1">
      <alignment horizontal="center" vertical="center"/>
    </xf>
    <xf numFmtId="2" fontId="30" fillId="3" borderId="26" xfId="0" applyNumberFormat="1" applyFont="1" applyFill="1" applyBorder="1" applyAlignment="1">
      <alignment horizontal="center" vertical="center"/>
    </xf>
    <xf numFmtId="2" fontId="30" fillId="3" borderId="28" xfId="0" applyNumberFormat="1" applyFont="1" applyFill="1" applyBorder="1" applyAlignment="1">
      <alignment horizontal="center" vertical="center"/>
    </xf>
    <xf numFmtId="2" fontId="23" fillId="5" borderId="0" xfId="0" applyNumberFormat="1" applyFont="1" applyFill="1" applyAlignment="1">
      <alignment horizontal="center"/>
    </xf>
    <xf numFmtId="2" fontId="23" fillId="9" borderId="10" xfId="0" applyNumberFormat="1" applyFont="1" applyFill="1" applyBorder="1" applyAlignment="1">
      <alignment horizontal="center" vertical="center"/>
    </xf>
    <xf numFmtId="2" fontId="23" fillId="9" borderId="24" xfId="0" applyNumberFormat="1" applyFont="1" applyFill="1" applyBorder="1" applyAlignment="1">
      <alignment horizontal="center" vertical="center"/>
    </xf>
    <xf numFmtId="2" fontId="23" fillId="9" borderId="32" xfId="0" applyNumberFormat="1" applyFont="1" applyFill="1" applyBorder="1" applyAlignment="1">
      <alignment horizontal="center" vertical="center"/>
    </xf>
    <xf numFmtId="2" fontId="23" fillId="9" borderId="2" xfId="0" applyNumberFormat="1" applyFont="1" applyFill="1" applyBorder="1" applyAlignment="1">
      <alignment horizontal="center" vertical="center"/>
    </xf>
    <xf numFmtId="2" fontId="23" fillId="9" borderId="4" xfId="0" applyNumberFormat="1" applyFont="1" applyFill="1" applyBorder="1" applyAlignment="1">
      <alignment horizontal="center" vertical="center"/>
    </xf>
    <xf numFmtId="2" fontId="23" fillId="9" borderId="66" xfId="0" applyNumberFormat="1" applyFont="1" applyFill="1" applyBorder="1" applyAlignment="1">
      <alignment horizontal="center" vertical="center"/>
    </xf>
    <xf numFmtId="2" fontId="23" fillId="9" borderId="37" xfId="0" applyNumberFormat="1" applyFont="1" applyFill="1" applyBorder="1" applyAlignment="1">
      <alignment horizontal="center" vertical="center"/>
    </xf>
    <xf numFmtId="2" fontId="33" fillId="2" borderId="10" xfId="5" applyNumberFormat="1" applyFont="1" applyFill="1" applyBorder="1" applyAlignment="1">
      <alignment horizontal="center" vertical="center" wrapText="1"/>
    </xf>
    <xf numFmtId="2" fontId="33" fillId="2" borderId="10" xfId="5" applyNumberFormat="1" applyFont="1" applyFill="1" applyBorder="1" applyAlignment="1">
      <alignment horizontal="left" vertical="center" wrapText="1"/>
    </xf>
    <xf numFmtId="2" fontId="31" fillId="2" borderId="10" xfId="0" applyNumberFormat="1" applyFont="1" applyFill="1" applyBorder="1" applyAlignment="1">
      <alignment horizontal="center" vertical="center"/>
    </xf>
    <xf numFmtId="2" fontId="30" fillId="6" borderId="10" xfId="0" applyNumberFormat="1" applyFont="1" applyFill="1" applyBorder="1" applyAlignment="1">
      <alignment horizontal="center" vertical="center"/>
    </xf>
    <xf numFmtId="2" fontId="33" fillId="2" borderId="10" xfId="0" applyNumberFormat="1" applyFont="1" applyFill="1" applyBorder="1" applyAlignment="1">
      <alignment horizontal="center" vertical="center" wrapText="1"/>
    </xf>
    <xf numFmtId="2" fontId="30" fillId="2" borderId="10" xfId="5" applyNumberFormat="1" applyFont="1" applyFill="1" applyBorder="1" applyAlignment="1">
      <alignment horizontal="center" vertical="center" wrapText="1"/>
    </xf>
    <xf numFmtId="2" fontId="23" fillId="2" borderId="22" xfId="0" applyNumberFormat="1" applyFont="1" applyFill="1" applyBorder="1" applyAlignment="1">
      <alignment horizontal="center" vertical="center"/>
    </xf>
    <xf numFmtId="2" fontId="23" fillId="2" borderId="26" xfId="0" applyNumberFormat="1" applyFont="1" applyFill="1" applyBorder="1" applyAlignment="1">
      <alignment horizontal="center" vertical="center"/>
    </xf>
    <xf numFmtId="2" fontId="23" fillId="2" borderId="29" xfId="0" applyNumberFormat="1" applyFont="1" applyFill="1" applyBorder="1" applyAlignment="1">
      <alignment horizontal="center" vertical="center"/>
    </xf>
    <xf numFmtId="0" fontId="23" fillId="7" borderId="63" xfId="0" applyFont="1" applyFill="1" applyBorder="1" applyAlignment="1">
      <alignment horizontal="center" vertical="center"/>
    </xf>
    <xf numFmtId="0" fontId="23" fillId="7" borderId="57" xfId="0" applyFont="1" applyFill="1" applyBorder="1" applyAlignment="1">
      <alignment horizontal="center" vertical="center"/>
    </xf>
    <xf numFmtId="0" fontId="23" fillId="7" borderId="71" xfId="0" applyFont="1" applyFill="1" applyBorder="1" applyAlignment="1">
      <alignment horizontal="center" vertical="center"/>
    </xf>
    <xf numFmtId="0" fontId="23" fillId="7" borderId="56" xfId="0" applyFont="1" applyFill="1" applyBorder="1" applyAlignment="1">
      <alignment horizontal="center" vertical="center"/>
    </xf>
    <xf numFmtId="0" fontId="23" fillId="7" borderId="56" xfId="0" applyFont="1" applyFill="1" applyBorder="1" applyAlignment="1">
      <alignment horizontal="center" vertical="center" wrapText="1"/>
    </xf>
    <xf numFmtId="0" fontId="23" fillId="7" borderId="57" xfId="0" applyFont="1" applyFill="1" applyBorder="1" applyAlignment="1">
      <alignment horizontal="center" vertical="center" wrapText="1"/>
    </xf>
    <xf numFmtId="0" fontId="23" fillId="7" borderId="62" xfId="0" applyFont="1" applyFill="1" applyBorder="1" applyAlignment="1">
      <alignment horizontal="center" vertical="center" wrapText="1"/>
    </xf>
    <xf numFmtId="0" fontId="23" fillId="7" borderId="10" xfId="0" applyFont="1" applyFill="1" applyBorder="1" applyAlignment="1">
      <alignment horizontal="center" vertical="center" wrapText="1"/>
    </xf>
    <xf numFmtId="0" fontId="23" fillId="7" borderId="71" xfId="0" applyFont="1" applyFill="1" applyBorder="1" applyAlignment="1">
      <alignment horizontal="center" vertical="center" wrapText="1"/>
    </xf>
    <xf numFmtId="0" fontId="23" fillId="7" borderId="67" xfId="0" applyFont="1" applyFill="1" applyBorder="1" applyAlignment="1">
      <alignment horizontal="center" vertical="center" wrapText="1"/>
    </xf>
    <xf numFmtId="0" fontId="23" fillId="7" borderId="68" xfId="0" applyFont="1" applyFill="1" applyBorder="1" applyAlignment="1">
      <alignment horizontal="center" vertical="center" wrapText="1"/>
    </xf>
    <xf numFmtId="0" fontId="23" fillId="7" borderId="69" xfId="0" applyFont="1" applyFill="1" applyBorder="1" applyAlignment="1">
      <alignment horizontal="center" vertical="center" wrapText="1"/>
    </xf>
    <xf numFmtId="0" fontId="0" fillId="8" borderId="28" xfId="0" applyFill="1" applyBorder="1" applyAlignment="1">
      <alignment horizontal="center" vertical="center" wrapText="1"/>
    </xf>
    <xf numFmtId="0" fontId="0" fillId="8" borderId="23" xfId="0" applyFill="1" applyBorder="1" applyAlignment="1">
      <alignment horizontal="center" vertical="center" wrapText="1"/>
    </xf>
    <xf numFmtId="0" fontId="0" fillId="8" borderId="74" xfId="0" applyFill="1" applyBorder="1" applyAlignment="1">
      <alignment horizontal="center" vertical="center" wrapText="1"/>
    </xf>
    <xf numFmtId="0" fontId="0" fillId="8" borderId="75" xfId="0" applyFill="1" applyBorder="1" applyAlignment="1">
      <alignment horizontal="center" vertical="center" wrapText="1"/>
    </xf>
    <xf numFmtId="0" fontId="24" fillId="5" borderId="48" xfId="0" applyFont="1" applyFill="1" applyBorder="1" applyAlignment="1">
      <alignment horizontal="center" vertical="center"/>
    </xf>
    <xf numFmtId="0" fontId="24" fillId="5" borderId="49" xfId="0" applyFont="1" applyFill="1" applyBorder="1" applyAlignment="1">
      <alignment horizontal="center" vertical="center"/>
    </xf>
    <xf numFmtId="0" fontId="24" fillId="5" borderId="50" xfId="0" applyFont="1" applyFill="1" applyBorder="1" applyAlignment="1">
      <alignment horizontal="center" vertical="center"/>
    </xf>
    <xf numFmtId="0" fontId="25" fillId="6" borderId="10" xfId="1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20" fillId="2" borderId="10" xfId="0" applyFont="1" applyFill="1" applyBorder="1" applyAlignment="1">
      <alignment horizontal="center" vertical="center" wrapText="1"/>
    </xf>
    <xf numFmtId="0" fontId="26" fillId="2" borderId="2" xfId="0" applyFont="1" applyFill="1" applyBorder="1" applyAlignment="1">
      <alignment horizontal="center" vertical="center"/>
    </xf>
    <xf numFmtId="0" fontId="26" fillId="2" borderId="4" xfId="0" applyFont="1" applyFill="1" applyBorder="1" applyAlignment="1">
      <alignment horizontal="center" vertical="center"/>
    </xf>
    <xf numFmtId="0" fontId="25" fillId="6" borderId="10" xfId="1" applyFont="1" applyFill="1" applyBorder="1" applyAlignment="1">
      <alignment horizontal="center" vertical="center"/>
    </xf>
    <xf numFmtId="0" fontId="28" fillId="6" borderId="8" xfId="1" applyFont="1" applyFill="1" applyBorder="1" applyAlignment="1">
      <alignment horizontal="center"/>
    </xf>
    <xf numFmtId="0" fontId="28" fillId="6" borderId="12" xfId="1" applyFont="1" applyFill="1" applyBorder="1" applyAlignment="1">
      <alignment horizontal="center"/>
    </xf>
    <xf numFmtId="0" fontId="28" fillId="6" borderId="9" xfId="1" applyFont="1" applyFill="1" applyBorder="1" applyAlignment="1">
      <alignment horizontal="center"/>
    </xf>
    <xf numFmtId="0" fontId="20" fillId="2" borderId="28" xfId="0" applyFont="1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23" fillId="2" borderId="8" xfId="0" applyFont="1" applyFill="1" applyBorder="1" applyAlignment="1">
      <alignment horizontal="center"/>
    </xf>
    <xf numFmtId="0" fontId="23" fillId="2" borderId="12" xfId="0" applyFont="1" applyFill="1" applyBorder="1" applyAlignment="1">
      <alignment horizontal="center"/>
    </xf>
    <xf numFmtId="0" fontId="23" fillId="2" borderId="9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52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2" fontId="0" fillId="5" borderId="53" xfId="0" applyNumberFormat="1" applyFill="1" applyBorder="1" applyAlignment="1">
      <alignment horizontal="center" vertical="center"/>
    </xf>
    <xf numFmtId="2" fontId="0" fillId="5" borderId="54" xfId="0" applyNumberFormat="1" applyFill="1" applyBorder="1" applyAlignment="1">
      <alignment horizontal="center" vertical="center"/>
    </xf>
    <xf numFmtId="2" fontId="0" fillId="5" borderId="55" xfId="0" applyNumberFormat="1" applyFill="1" applyBorder="1" applyAlignment="1">
      <alignment horizontal="center" vertical="center"/>
    </xf>
    <xf numFmtId="0" fontId="30" fillId="7" borderId="22" xfId="0" applyFont="1" applyFill="1" applyBorder="1" applyAlignment="1">
      <alignment horizontal="center" vertical="center" wrapText="1"/>
    </xf>
    <xf numFmtId="0" fontId="30" fillId="7" borderId="26" xfId="0" applyFont="1" applyFill="1" applyBorder="1" applyAlignment="1">
      <alignment horizontal="center" vertical="center" wrapText="1"/>
    </xf>
    <xf numFmtId="0" fontId="30" fillId="7" borderId="24" xfId="0" applyFont="1" applyFill="1" applyBorder="1" applyAlignment="1">
      <alignment horizontal="center" vertical="center" wrapText="1"/>
    </xf>
    <xf numFmtId="0" fontId="30" fillId="7" borderId="10" xfId="0" applyFont="1" applyFill="1" applyBorder="1" applyAlignment="1">
      <alignment horizontal="center" vertical="center" wrapText="1"/>
    </xf>
    <xf numFmtId="0" fontId="31" fillId="7" borderId="24" xfId="0" applyFont="1" applyFill="1" applyBorder="1" applyAlignment="1">
      <alignment horizontal="center" vertical="center" wrapText="1"/>
    </xf>
    <xf numFmtId="0" fontId="31" fillId="7" borderId="10" xfId="0" applyFont="1" applyFill="1" applyBorder="1" applyAlignment="1">
      <alignment horizontal="center" vertical="center" wrapText="1"/>
    </xf>
    <xf numFmtId="0" fontId="31" fillId="7" borderId="24" xfId="0" applyFont="1" applyFill="1" applyBorder="1" applyAlignment="1">
      <alignment horizontal="center" vertical="center"/>
    </xf>
    <xf numFmtId="0" fontId="31" fillId="7" borderId="10" xfId="0" applyFont="1" applyFill="1" applyBorder="1" applyAlignment="1">
      <alignment horizontal="center" vertical="center"/>
    </xf>
    <xf numFmtId="0" fontId="32" fillId="0" borderId="23" xfId="0" applyFont="1" applyBorder="1" applyAlignment="1">
      <alignment horizontal="center" vertical="center" wrapText="1"/>
    </xf>
    <xf numFmtId="0" fontId="32" fillId="0" borderId="28" xfId="0" applyFont="1" applyBorder="1" applyAlignment="1">
      <alignment horizontal="center" vertical="center" wrapText="1"/>
    </xf>
    <xf numFmtId="0" fontId="23" fillId="2" borderId="13" xfId="0" applyFont="1" applyFill="1" applyBorder="1" applyAlignment="1">
      <alignment horizontal="center"/>
    </xf>
    <xf numFmtId="0" fontId="23" fillId="2" borderId="7" xfId="0" applyFont="1" applyFill="1" applyBorder="1" applyAlignment="1">
      <alignment horizontal="center"/>
    </xf>
    <xf numFmtId="0" fontId="23" fillId="2" borderId="14" xfId="0" applyFont="1" applyFill="1" applyBorder="1" applyAlignment="1">
      <alignment horizontal="center"/>
    </xf>
    <xf numFmtId="0" fontId="34" fillId="2" borderId="10" xfId="1" applyFont="1" applyFill="1" applyBorder="1" applyAlignment="1">
      <alignment horizontal="left" vertical="center" wrapText="1"/>
    </xf>
    <xf numFmtId="0" fontId="33" fillId="2" borderId="0" xfId="1" applyFont="1" applyFill="1" applyAlignment="1">
      <alignment horizontal="left" vertical="center" wrapText="1"/>
    </xf>
    <xf numFmtId="0" fontId="68" fillId="2" borderId="10" xfId="0" applyFont="1" applyFill="1" applyBorder="1" applyAlignment="1">
      <alignment horizontal="center" vertical="center"/>
    </xf>
    <xf numFmtId="0" fontId="68" fillId="2" borderId="10" xfId="0" applyFont="1" applyFill="1" applyBorder="1" applyAlignment="1">
      <alignment horizontal="center" vertical="center" wrapText="1"/>
    </xf>
    <xf numFmtId="0" fontId="20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 wrapText="1"/>
    </xf>
    <xf numFmtId="0" fontId="30" fillId="2" borderId="22" xfId="0" applyFont="1" applyFill="1" applyBorder="1" applyAlignment="1">
      <alignment horizontal="center" vertical="center"/>
    </xf>
    <xf numFmtId="0" fontId="30" fillId="2" borderId="24" xfId="0" applyFont="1" applyFill="1" applyBorder="1" applyAlignment="1">
      <alignment horizontal="center" vertical="center"/>
    </xf>
    <xf numFmtId="0" fontId="30" fillId="2" borderId="23" xfId="0" applyFont="1" applyFill="1" applyBorder="1" applyAlignment="1">
      <alignment horizontal="center" vertical="center"/>
    </xf>
    <xf numFmtId="0" fontId="24" fillId="2" borderId="22" xfId="0" applyFont="1" applyFill="1" applyBorder="1" applyAlignment="1">
      <alignment horizontal="center" vertical="center"/>
    </xf>
    <xf numFmtId="0" fontId="24" fillId="2" borderId="24" xfId="0" applyFont="1" applyFill="1" applyBorder="1" applyAlignment="1">
      <alignment horizontal="center" vertical="center"/>
    </xf>
    <xf numFmtId="0" fontId="24" fillId="2" borderId="23" xfId="0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68" fillId="2" borderId="2" xfId="0" applyFont="1" applyFill="1" applyBorder="1" applyAlignment="1">
      <alignment horizontal="center" vertical="center"/>
    </xf>
    <xf numFmtId="0" fontId="68" fillId="2" borderId="5" xfId="0" applyFont="1" applyFill="1" applyBorder="1" applyAlignment="1">
      <alignment horizontal="center" vertical="center"/>
    </xf>
    <xf numFmtId="0" fontId="36" fillId="2" borderId="73" xfId="0" applyFont="1" applyFill="1" applyBorder="1" applyAlignment="1">
      <alignment horizontal="center" vertical="center"/>
    </xf>
    <xf numFmtId="0" fontId="36" fillId="2" borderId="9" xfId="0" applyFont="1" applyFill="1" applyBorder="1" applyAlignment="1">
      <alignment horizontal="center" vertical="center"/>
    </xf>
    <xf numFmtId="0" fontId="36" fillId="2" borderId="76" xfId="0" applyFont="1" applyFill="1" applyBorder="1" applyAlignment="1">
      <alignment horizontal="center" vertical="center"/>
    </xf>
    <xf numFmtId="0" fontId="30" fillId="2" borderId="34" xfId="0" applyFont="1" applyFill="1" applyBorder="1" applyAlignment="1">
      <alignment horizontal="center" vertical="center"/>
    </xf>
    <xf numFmtId="0" fontId="30" fillId="2" borderId="35" xfId="0" applyFont="1" applyFill="1" applyBorder="1" applyAlignment="1">
      <alignment horizontal="center" vertical="center"/>
    </xf>
    <xf numFmtId="0" fontId="30" fillId="2" borderId="58" xfId="0" applyFont="1" applyFill="1" applyBorder="1" applyAlignment="1">
      <alignment horizontal="center" vertical="center"/>
    </xf>
    <xf numFmtId="0" fontId="32" fillId="0" borderId="34" xfId="0" applyFont="1" applyBorder="1" applyAlignment="1">
      <alignment horizontal="center" vertical="center"/>
    </xf>
    <xf numFmtId="0" fontId="32" fillId="0" borderId="58" xfId="0" applyFont="1" applyBorder="1" applyAlignment="1">
      <alignment horizontal="center" vertical="center"/>
    </xf>
    <xf numFmtId="0" fontId="0" fillId="0" borderId="42" xfId="0" applyBorder="1" applyAlignment="1">
      <alignment horizontal="left" vertical="center"/>
    </xf>
    <xf numFmtId="0" fontId="0" fillId="0" borderId="61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35" fillId="0" borderId="52" xfId="0" applyFont="1" applyBorder="1" applyAlignment="1">
      <alignment horizontal="center"/>
    </xf>
    <xf numFmtId="0" fontId="35" fillId="0" borderId="59" xfId="0" applyFont="1" applyBorder="1" applyAlignment="1">
      <alignment horizontal="center"/>
    </xf>
    <xf numFmtId="0" fontId="13" fillId="2" borderId="34" xfId="0" applyFont="1" applyFill="1" applyBorder="1" applyAlignment="1">
      <alignment horizontal="center" vertical="center"/>
    </xf>
    <xf numFmtId="0" fontId="13" fillId="2" borderId="58" xfId="0" applyFont="1" applyFill="1" applyBorder="1" applyAlignment="1">
      <alignment horizontal="center" vertical="center"/>
    </xf>
    <xf numFmtId="0" fontId="37" fillId="0" borderId="34" xfId="0" applyFont="1" applyBorder="1" applyAlignment="1">
      <alignment horizontal="center"/>
    </xf>
    <xf numFmtId="0" fontId="37" fillId="0" borderId="58" xfId="0" applyFont="1" applyBorder="1" applyAlignment="1">
      <alignment horizontal="center"/>
    </xf>
    <xf numFmtId="0" fontId="38" fillId="0" borderId="19" xfId="0" applyFont="1" applyBorder="1" applyAlignment="1">
      <alignment horizontal="center"/>
    </xf>
    <xf numFmtId="0" fontId="38" fillId="0" borderId="20" xfId="0" applyFont="1" applyBorder="1" applyAlignment="1">
      <alignment horizontal="center"/>
    </xf>
    <xf numFmtId="0" fontId="38" fillId="0" borderId="21" xfId="0" applyFont="1" applyBorder="1" applyAlignment="1">
      <alignment horizontal="center"/>
    </xf>
    <xf numFmtId="164" fontId="35" fillId="5" borderId="24" xfId="0" applyNumberFormat="1" applyFont="1" applyFill="1" applyBorder="1" applyAlignment="1">
      <alignment horizontal="center"/>
    </xf>
  </cellXfs>
  <cellStyles count="9">
    <cellStyle name="Normal" xfId="0" builtinId="0"/>
    <cellStyle name="Normal 2" xfId="1" xr:uid="{00000000-0005-0000-0000-000001000000}"/>
    <cellStyle name="Normal 2 2" xfId="5" xr:uid="{D189E011-4F3F-41FE-A36E-B034C104D381}"/>
    <cellStyle name="Normal 2 3" xfId="7" xr:uid="{3D37EE13-E331-4398-9785-3280A527419F}"/>
    <cellStyle name="Normal 3" xfId="6" xr:uid="{978C7288-ED46-4212-8472-10C003C01689}"/>
    <cellStyle name="Normal_Daftar kelistrikan (ecg)" xfId="2" xr:uid="{00000000-0005-0000-0000-000002000000}"/>
    <cellStyle name="Normal_Daftar kelistrikan (ecg) 2" xfId="8" xr:uid="{69F5D879-9343-4FCD-80F8-566327898208}"/>
    <cellStyle name="Normal_Sheet1" xfId="4" xr:uid="{AA3F687C-1A0A-44CE-B89C-3AD4ACCC1FBA}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</xdr:row>
          <xdr:rowOff>0</xdr:rowOff>
        </xdr:from>
        <xdr:to>
          <xdr:col>10</xdr:col>
          <xdr:colOff>412750</xdr:colOff>
          <xdr:row>3</xdr:row>
          <xdr:rowOff>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</xdr:row>
          <xdr:rowOff>0</xdr:rowOff>
        </xdr:from>
        <xdr:to>
          <xdr:col>10</xdr:col>
          <xdr:colOff>412750</xdr:colOff>
          <xdr:row>3</xdr:row>
          <xdr:rowOff>0</xdr:rowOff>
        </xdr:to>
        <xdr:sp macro="" textlink="">
          <xdr:nvSpPr>
            <xdr:cNvPr id="7170" name="Object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</xdr:row>
          <xdr:rowOff>0</xdr:rowOff>
        </xdr:from>
        <xdr:to>
          <xdr:col>10</xdr:col>
          <xdr:colOff>412750</xdr:colOff>
          <xdr:row>3</xdr:row>
          <xdr:rowOff>0</xdr:rowOff>
        </xdr:to>
        <xdr:sp macro="" textlink="">
          <xdr:nvSpPr>
            <xdr:cNvPr id="7171" name="Object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</xdr:row>
          <xdr:rowOff>0</xdr:rowOff>
        </xdr:from>
        <xdr:to>
          <xdr:col>10</xdr:col>
          <xdr:colOff>412750</xdr:colOff>
          <xdr:row>3</xdr:row>
          <xdr:rowOff>0</xdr:rowOff>
        </xdr:to>
        <xdr:sp macro="" textlink="">
          <xdr:nvSpPr>
            <xdr:cNvPr id="7172" name="Object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2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</xdr:row>
          <xdr:rowOff>0</xdr:rowOff>
        </xdr:from>
        <xdr:to>
          <xdr:col>10</xdr:col>
          <xdr:colOff>412750</xdr:colOff>
          <xdr:row>3</xdr:row>
          <xdr:rowOff>0</xdr:rowOff>
        </xdr:to>
        <xdr:sp macro="" textlink="">
          <xdr:nvSpPr>
            <xdr:cNvPr id="7173" name="Object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2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</xdr:row>
          <xdr:rowOff>0</xdr:rowOff>
        </xdr:from>
        <xdr:to>
          <xdr:col>10</xdr:col>
          <xdr:colOff>412750</xdr:colOff>
          <xdr:row>3</xdr:row>
          <xdr:rowOff>0</xdr:rowOff>
        </xdr:to>
        <xdr:sp macro="" textlink="">
          <xdr:nvSpPr>
            <xdr:cNvPr id="7174" name="Object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2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</xdr:row>
          <xdr:rowOff>0</xdr:rowOff>
        </xdr:from>
        <xdr:to>
          <xdr:col>10</xdr:col>
          <xdr:colOff>412750</xdr:colOff>
          <xdr:row>3</xdr:row>
          <xdr:rowOff>0</xdr:rowOff>
        </xdr:to>
        <xdr:sp macro="" textlink="">
          <xdr:nvSpPr>
            <xdr:cNvPr id="7175" name="Object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</xdr:row>
          <xdr:rowOff>0</xdr:rowOff>
        </xdr:from>
        <xdr:to>
          <xdr:col>10</xdr:col>
          <xdr:colOff>412750</xdr:colOff>
          <xdr:row>3</xdr:row>
          <xdr:rowOff>0</xdr:rowOff>
        </xdr:to>
        <xdr:sp macro="" textlink="">
          <xdr:nvSpPr>
            <xdr:cNvPr id="7176" name="Object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2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</xdr:row>
          <xdr:rowOff>0</xdr:rowOff>
        </xdr:from>
        <xdr:to>
          <xdr:col>10</xdr:col>
          <xdr:colOff>412750</xdr:colOff>
          <xdr:row>3</xdr:row>
          <xdr:rowOff>0</xdr:rowOff>
        </xdr:to>
        <xdr:sp macro="" textlink="">
          <xdr:nvSpPr>
            <xdr:cNvPr id="7177" name="Object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00000000-0008-0000-02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</xdr:row>
          <xdr:rowOff>0</xdr:rowOff>
        </xdr:from>
        <xdr:to>
          <xdr:col>10</xdr:col>
          <xdr:colOff>412750</xdr:colOff>
          <xdr:row>3</xdr:row>
          <xdr:rowOff>0</xdr:rowOff>
        </xdr:to>
        <xdr:sp macro="" textlink="">
          <xdr:nvSpPr>
            <xdr:cNvPr id="7178" name="Object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00000000-0008-0000-02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3</xdr:row>
          <xdr:rowOff>0</xdr:rowOff>
        </xdr:from>
        <xdr:to>
          <xdr:col>10</xdr:col>
          <xdr:colOff>419100</xdr:colOff>
          <xdr:row>3</xdr:row>
          <xdr:rowOff>0</xdr:rowOff>
        </xdr:to>
        <xdr:sp macro="" textlink="">
          <xdr:nvSpPr>
            <xdr:cNvPr id="7179" name="Object 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id="{00000000-0008-0000-0200-00000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95</xdr:row>
          <xdr:rowOff>0</xdr:rowOff>
        </xdr:from>
        <xdr:to>
          <xdr:col>10</xdr:col>
          <xdr:colOff>412750</xdr:colOff>
          <xdr:row>95</xdr:row>
          <xdr:rowOff>0</xdr:rowOff>
        </xdr:to>
        <xdr:sp macro="" textlink="">
          <xdr:nvSpPr>
            <xdr:cNvPr id="7180" name="Object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00000000-0008-0000-02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95</xdr:row>
          <xdr:rowOff>0</xdr:rowOff>
        </xdr:from>
        <xdr:to>
          <xdr:col>10</xdr:col>
          <xdr:colOff>412750</xdr:colOff>
          <xdr:row>95</xdr:row>
          <xdr:rowOff>0</xdr:rowOff>
        </xdr:to>
        <xdr:sp macro="" textlink="">
          <xdr:nvSpPr>
            <xdr:cNvPr id="7181" name="Object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00000000-0008-0000-02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95</xdr:row>
          <xdr:rowOff>0</xdr:rowOff>
        </xdr:from>
        <xdr:to>
          <xdr:col>10</xdr:col>
          <xdr:colOff>412750</xdr:colOff>
          <xdr:row>95</xdr:row>
          <xdr:rowOff>0</xdr:rowOff>
        </xdr:to>
        <xdr:sp macro="" textlink="">
          <xdr:nvSpPr>
            <xdr:cNvPr id="7182" name="Object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00000000-0008-0000-02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95</xdr:row>
          <xdr:rowOff>0</xdr:rowOff>
        </xdr:from>
        <xdr:to>
          <xdr:col>10</xdr:col>
          <xdr:colOff>412750</xdr:colOff>
          <xdr:row>95</xdr:row>
          <xdr:rowOff>0</xdr:rowOff>
        </xdr:to>
        <xdr:sp macro="" textlink="">
          <xdr:nvSpPr>
            <xdr:cNvPr id="7183" name="Object 15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:a16="http://schemas.microsoft.com/office/drawing/2014/main" id="{00000000-0008-0000-0200-00000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95</xdr:row>
          <xdr:rowOff>0</xdr:rowOff>
        </xdr:from>
        <xdr:to>
          <xdr:col>10</xdr:col>
          <xdr:colOff>412750</xdr:colOff>
          <xdr:row>95</xdr:row>
          <xdr:rowOff>0</xdr:rowOff>
        </xdr:to>
        <xdr:sp macro="" textlink="">
          <xdr:nvSpPr>
            <xdr:cNvPr id="7184" name="Object 16" hidden="1">
              <a:extLst>
                <a:ext uri="{63B3BB69-23CF-44E3-9099-C40C66FF867C}">
                  <a14:compatExt spid="_x0000_s7184"/>
                </a:ext>
                <a:ext uri="{FF2B5EF4-FFF2-40B4-BE49-F238E27FC236}">
                  <a16:creationId xmlns:a16="http://schemas.microsoft.com/office/drawing/2014/main" id="{00000000-0008-0000-02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95</xdr:row>
          <xdr:rowOff>0</xdr:rowOff>
        </xdr:from>
        <xdr:to>
          <xdr:col>10</xdr:col>
          <xdr:colOff>412750</xdr:colOff>
          <xdr:row>95</xdr:row>
          <xdr:rowOff>0</xdr:rowOff>
        </xdr:to>
        <xdr:sp macro="" textlink="">
          <xdr:nvSpPr>
            <xdr:cNvPr id="7185" name="Object 17" hidden="1">
              <a:extLst>
                <a:ext uri="{63B3BB69-23CF-44E3-9099-C40C66FF867C}">
                  <a14:compatExt spid="_x0000_s7185"/>
                </a:ext>
                <a:ext uri="{FF2B5EF4-FFF2-40B4-BE49-F238E27FC236}">
                  <a16:creationId xmlns:a16="http://schemas.microsoft.com/office/drawing/2014/main" id="{00000000-0008-0000-0200-00001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95</xdr:row>
          <xdr:rowOff>0</xdr:rowOff>
        </xdr:from>
        <xdr:to>
          <xdr:col>10</xdr:col>
          <xdr:colOff>412750</xdr:colOff>
          <xdr:row>95</xdr:row>
          <xdr:rowOff>0</xdr:rowOff>
        </xdr:to>
        <xdr:sp macro="" textlink="">
          <xdr:nvSpPr>
            <xdr:cNvPr id="7186" name="Object 18" hidden="1">
              <a:extLst>
                <a:ext uri="{63B3BB69-23CF-44E3-9099-C40C66FF867C}">
                  <a14:compatExt spid="_x0000_s7186"/>
                </a:ext>
                <a:ext uri="{FF2B5EF4-FFF2-40B4-BE49-F238E27FC236}">
                  <a16:creationId xmlns:a16="http://schemas.microsoft.com/office/drawing/2014/main" id="{00000000-0008-0000-0200-00001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95</xdr:row>
          <xdr:rowOff>0</xdr:rowOff>
        </xdr:from>
        <xdr:to>
          <xdr:col>10</xdr:col>
          <xdr:colOff>412750</xdr:colOff>
          <xdr:row>95</xdr:row>
          <xdr:rowOff>0</xdr:rowOff>
        </xdr:to>
        <xdr:sp macro="" textlink="">
          <xdr:nvSpPr>
            <xdr:cNvPr id="7187" name="Object 19" hidden="1">
              <a:extLst>
                <a:ext uri="{63B3BB69-23CF-44E3-9099-C40C66FF867C}">
                  <a14:compatExt spid="_x0000_s7187"/>
                </a:ext>
                <a:ext uri="{FF2B5EF4-FFF2-40B4-BE49-F238E27FC236}">
                  <a16:creationId xmlns:a16="http://schemas.microsoft.com/office/drawing/2014/main" id="{00000000-0008-0000-0200-00001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95</xdr:row>
          <xdr:rowOff>0</xdr:rowOff>
        </xdr:from>
        <xdr:to>
          <xdr:col>10</xdr:col>
          <xdr:colOff>412750</xdr:colOff>
          <xdr:row>95</xdr:row>
          <xdr:rowOff>0</xdr:rowOff>
        </xdr:to>
        <xdr:sp macro="" textlink="">
          <xdr:nvSpPr>
            <xdr:cNvPr id="7188" name="Object 20" hidden="1">
              <a:extLst>
                <a:ext uri="{63B3BB69-23CF-44E3-9099-C40C66FF867C}">
                  <a14:compatExt spid="_x0000_s7188"/>
                </a:ext>
                <a:ext uri="{FF2B5EF4-FFF2-40B4-BE49-F238E27FC236}">
                  <a16:creationId xmlns:a16="http://schemas.microsoft.com/office/drawing/2014/main" id="{00000000-0008-0000-0200-00001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95</xdr:row>
          <xdr:rowOff>0</xdr:rowOff>
        </xdr:from>
        <xdr:to>
          <xdr:col>10</xdr:col>
          <xdr:colOff>412750</xdr:colOff>
          <xdr:row>95</xdr:row>
          <xdr:rowOff>0</xdr:rowOff>
        </xdr:to>
        <xdr:sp macro="" textlink="">
          <xdr:nvSpPr>
            <xdr:cNvPr id="7189" name="Object 21" hidden="1">
              <a:extLst>
                <a:ext uri="{63B3BB69-23CF-44E3-9099-C40C66FF867C}">
                  <a14:compatExt spid="_x0000_s7189"/>
                </a:ext>
                <a:ext uri="{FF2B5EF4-FFF2-40B4-BE49-F238E27FC236}">
                  <a16:creationId xmlns:a16="http://schemas.microsoft.com/office/drawing/2014/main" id="{00000000-0008-0000-0200-00001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95</xdr:row>
          <xdr:rowOff>0</xdr:rowOff>
        </xdr:from>
        <xdr:to>
          <xdr:col>10</xdr:col>
          <xdr:colOff>419100</xdr:colOff>
          <xdr:row>95</xdr:row>
          <xdr:rowOff>0</xdr:rowOff>
        </xdr:to>
        <xdr:sp macro="" textlink="">
          <xdr:nvSpPr>
            <xdr:cNvPr id="7190" name="Object 22" hidden="1">
              <a:extLst>
                <a:ext uri="{63B3BB69-23CF-44E3-9099-C40C66FF867C}">
                  <a14:compatExt spid="_x0000_s7190"/>
                </a:ext>
                <a:ext uri="{FF2B5EF4-FFF2-40B4-BE49-F238E27FC236}">
                  <a16:creationId xmlns:a16="http://schemas.microsoft.com/office/drawing/2014/main" id="{00000000-0008-0000-0200-00001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31</xdr:row>
          <xdr:rowOff>0</xdr:rowOff>
        </xdr:from>
        <xdr:to>
          <xdr:col>10</xdr:col>
          <xdr:colOff>412750</xdr:colOff>
          <xdr:row>31</xdr:row>
          <xdr:rowOff>0</xdr:rowOff>
        </xdr:to>
        <xdr:sp macro="" textlink="">
          <xdr:nvSpPr>
            <xdr:cNvPr id="7191" name="Object 23" hidden="1">
              <a:extLst>
                <a:ext uri="{63B3BB69-23CF-44E3-9099-C40C66FF867C}">
                  <a14:compatExt spid="_x0000_s7191"/>
                </a:ext>
                <a:ext uri="{FF2B5EF4-FFF2-40B4-BE49-F238E27FC236}">
                  <a16:creationId xmlns:a16="http://schemas.microsoft.com/office/drawing/2014/main" id="{00000000-0008-0000-0200-00001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31</xdr:row>
          <xdr:rowOff>0</xdr:rowOff>
        </xdr:from>
        <xdr:to>
          <xdr:col>10</xdr:col>
          <xdr:colOff>412750</xdr:colOff>
          <xdr:row>31</xdr:row>
          <xdr:rowOff>0</xdr:rowOff>
        </xdr:to>
        <xdr:sp macro="" textlink="">
          <xdr:nvSpPr>
            <xdr:cNvPr id="7192" name="Object 24" hidden="1">
              <a:extLst>
                <a:ext uri="{63B3BB69-23CF-44E3-9099-C40C66FF867C}">
                  <a14:compatExt spid="_x0000_s7192"/>
                </a:ext>
                <a:ext uri="{FF2B5EF4-FFF2-40B4-BE49-F238E27FC236}">
                  <a16:creationId xmlns:a16="http://schemas.microsoft.com/office/drawing/2014/main" id="{00000000-0008-0000-0200-00001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31</xdr:row>
          <xdr:rowOff>0</xdr:rowOff>
        </xdr:from>
        <xdr:to>
          <xdr:col>10</xdr:col>
          <xdr:colOff>412750</xdr:colOff>
          <xdr:row>31</xdr:row>
          <xdr:rowOff>0</xdr:rowOff>
        </xdr:to>
        <xdr:sp macro="" textlink="">
          <xdr:nvSpPr>
            <xdr:cNvPr id="7193" name="Object 25" hidden="1">
              <a:extLst>
                <a:ext uri="{63B3BB69-23CF-44E3-9099-C40C66FF867C}">
                  <a14:compatExt spid="_x0000_s7193"/>
                </a:ext>
                <a:ext uri="{FF2B5EF4-FFF2-40B4-BE49-F238E27FC236}">
                  <a16:creationId xmlns:a16="http://schemas.microsoft.com/office/drawing/2014/main" id="{00000000-0008-0000-0200-00001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31</xdr:row>
          <xdr:rowOff>0</xdr:rowOff>
        </xdr:from>
        <xdr:to>
          <xdr:col>10</xdr:col>
          <xdr:colOff>412750</xdr:colOff>
          <xdr:row>31</xdr:row>
          <xdr:rowOff>0</xdr:rowOff>
        </xdr:to>
        <xdr:sp macro="" textlink="">
          <xdr:nvSpPr>
            <xdr:cNvPr id="7194" name="Object 26" hidden="1">
              <a:extLst>
                <a:ext uri="{63B3BB69-23CF-44E3-9099-C40C66FF867C}">
                  <a14:compatExt spid="_x0000_s7194"/>
                </a:ext>
                <a:ext uri="{FF2B5EF4-FFF2-40B4-BE49-F238E27FC236}">
                  <a16:creationId xmlns:a16="http://schemas.microsoft.com/office/drawing/2014/main" id="{00000000-0008-0000-0200-00001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31</xdr:row>
          <xdr:rowOff>0</xdr:rowOff>
        </xdr:from>
        <xdr:to>
          <xdr:col>10</xdr:col>
          <xdr:colOff>412750</xdr:colOff>
          <xdr:row>31</xdr:row>
          <xdr:rowOff>0</xdr:rowOff>
        </xdr:to>
        <xdr:sp macro="" textlink="">
          <xdr:nvSpPr>
            <xdr:cNvPr id="7195" name="Object 27" hidden="1">
              <a:extLst>
                <a:ext uri="{63B3BB69-23CF-44E3-9099-C40C66FF867C}">
                  <a14:compatExt spid="_x0000_s7195"/>
                </a:ext>
                <a:ext uri="{FF2B5EF4-FFF2-40B4-BE49-F238E27FC236}">
                  <a16:creationId xmlns:a16="http://schemas.microsoft.com/office/drawing/2014/main" id="{00000000-0008-0000-0200-00001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31</xdr:row>
          <xdr:rowOff>0</xdr:rowOff>
        </xdr:from>
        <xdr:to>
          <xdr:col>10</xdr:col>
          <xdr:colOff>412750</xdr:colOff>
          <xdr:row>31</xdr:row>
          <xdr:rowOff>0</xdr:rowOff>
        </xdr:to>
        <xdr:sp macro="" textlink="">
          <xdr:nvSpPr>
            <xdr:cNvPr id="7196" name="Object 28" hidden="1">
              <a:extLst>
                <a:ext uri="{63B3BB69-23CF-44E3-9099-C40C66FF867C}">
                  <a14:compatExt spid="_x0000_s7196"/>
                </a:ext>
                <a:ext uri="{FF2B5EF4-FFF2-40B4-BE49-F238E27FC236}">
                  <a16:creationId xmlns:a16="http://schemas.microsoft.com/office/drawing/2014/main" id="{00000000-0008-0000-0200-00001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31</xdr:row>
          <xdr:rowOff>0</xdr:rowOff>
        </xdr:from>
        <xdr:to>
          <xdr:col>10</xdr:col>
          <xdr:colOff>412750</xdr:colOff>
          <xdr:row>31</xdr:row>
          <xdr:rowOff>0</xdr:rowOff>
        </xdr:to>
        <xdr:sp macro="" textlink="">
          <xdr:nvSpPr>
            <xdr:cNvPr id="7197" name="Object 29" hidden="1">
              <a:extLst>
                <a:ext uri="{63B3BB69-23CF-44E3-9099-C40C66FF867C}">
                  <a14:compatExt spid="_x0000_s7197"/>
                </a:ext>
                <a:ext uri="{FF2B5EF4-FFF2-40B4-BE49-F238E27FC236}">
                  <a16:creationId xmlns:a16="http://schemas.microsoft.com/office/drawing/2014/main" id="{00000000-0008-0000-0200-00001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31</xdr:row>
          <xdr:rowOff>0</xdr:rowOff>
        </xdr:from>
        <xdr:to>
          <xdr:col>10</xdr:col>
          <xdr:colOff>412750</xdr:colOff>
          <xdr:row>31</xdr:row>
          <xdr:rowOff>0</xdr:rowOff>
        </xdr:to>
        <xdr:sp macro="" textlink="">
          <xdr:nvSpPr>
            <xdr:cNvPr id="7198" name="Object 30" hidden="1">
              <a:extLst>
                <a:ext uri="{63B3BB69-23CF-44E3-9099-C40C66FF867C}">
                  <a14:compatExt spid="_x0000_s7198"/>
                </a:ext>
                <a:ext uri="{FF2B5EF4-FFF2-40B4-BE49-F238E27FC236}">
                  <a16:creationId xmlns:a16="http://schemas.microsoft.com/office/drawing/2014/main" id="{00000000-0008-0000-0200-00001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31</xdr:row>
          <xdr:rowOff>0</xdr:rowOff>
        </xdr:from>
        <xdr:to>
          <xdr:col>10</xdr:col>
          <xdr:colOff>412750</xdr:colOff>
          <xdr:row>31</xdr:row>
          <xdr:rowOff>0</xdr:rowOff>
        </xdr:to>
        <xdr:sp macro="" textlink="">
          <xdr:nvSpPr>
            <xdr:cNvPr id="7199" name="Object 31" hidden="1">
              <a:extLst>
                <a:ext uri="{63B3BB69-23CF-44E3-9099-C40C66FF867C}">
                  <a14:compatExt spid="_x0000_s7199"/>
                </a:ext>
                <a:ext uri="{FF2B5EF4-FFF2-40B4-BE49-F238E27FC236}">
                  <a16:creationId xmlns:a16="http://schemas.microsoft.com/office/drawing/2014/main" id="{00000000-0008-0000-0200-00001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31</xdr:row>
          <xdr:rowOff>0</xdr:rowOff>
        </xdr:from>
        <xdr:to>
          <xdr:col>10</xdr:col>
          <xdr:colOff>412750</xdr:colOff>
          <xdr:row>31</xdr:row>
          <xdr:rowOff>0</xdr:rowOff>
        </xdr:to>
        <xdr:sp macro="" textlink="">
          <xdr:nvSpPr>
            <xdr:cNvPr id="7200" name="Object 32" hidden="1">
              <a:extLst>
                <a:ext uri="{63B3BB69-23CF-44E3-9099-C40C66FF867C}">
                  <a14:compatExt spid="_x0000_s7200"/>
                </a:ext>
                <a:ext uri="{FF2B5EF4-FFF2-40B4-BE49-F238E27FC236}">
                  <a16:creationId xmlns:a16="http://schemas.microsoft.com/office/drawing/2014/main" id="{00000000-0008-0000-0200-00002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31</xdr:row>
          <xdr:rowOff>0</xdr:rowOff>
        </xdr:from>
        <xdr:to>
          <xdr:col>10</xdr:col>
          <xdr:colOff>412750</xdr:colOff>
          <xdr:row>31</xdr:row>
          <xdr:rowOff>0</xdr:rowOff>
        </xdr:to>
        <xdr:sp macro="" textlink="">
          <xdr:nvSpPr>
            <xdr:cNvPr id="7201" name="Object 33" hidden="1">
              <a:extLst>
                <a:ext uri="{63B3BB69-23CF-44E3-9099-C40C66FF867C}">
                  <a14:compatExt spid="_x0000_s7201"/>
                </a:ext>
                <a:ext uri="{FF2B5EF4-FFF2-40B4-BE49-F238E27FC236}">
                  <a16:creationId xmlns:a16="http://schemas.microsoft.com/office/drawing/2014/main" id="{00000000-0008-0000-0200-00002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31</xdr:row>
          <xdr:rowOff>0</xdr:rowOff>
        </xdr:from>
        <xdr:to>
          <xdr:col>10</xdr:col>
          <xdr:colOff>412750</xdr:colOff>
          <xdr:row>31</xdr:row>
          <xdr:rowOff>0</xdr:rowOff>
        </xdr:to>
        <xdr:sp macro="" textlink="">
          <xdr:nvSpPr>
            <xdr:cNvPr id="7202" name="Object 34" hidden="1">
              <a:extLst>
                <a:ext uri="{63B3BB69-23CF-44E3-9099-C40C66FF867C}">
                  <a14:compatExt spid="_x0000_s7202"/>
                </a:ext>
                <a:ext uri="{FF2B5EF4-FFF2-40B4-BE49-F238E27FC236}">
                  <a16:creationId xmlns:a16="http://schemas.microsoft.com/office/drawing/2014/main" id="{00000000-0008-0000-0200-00002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31</xdr:row>
          <xdr:rowOff>0</xdr:rowOff>
        </xdr:from>
        <xdr:to>
          <xdr:col>10</xdr:col>
          <xdr:colOff>412750</xdr:colOff>
          <xdr:row>31</xdr:row>
          <xdr:rowOff>0</xdr:rowOff>
        </xdr:to>
        <xdr:sp macro="" textlink="">
          <xdr:nvSpPr>
            <xdr:cNvPr id="7203" name="Object 35" hidden="1">
              <a:extLst>
                <a:ext uri="{63B3BB69-23CF-44E3-9099-C40C66FF867C}">
                  <a14:compatExt spid="_x0000_s7203"/>
                </a:ext>
                <a:ext uri="{FF2B5EF4-FFF2-40B4-BE49-F238E27FC236}">
                  <a16:creationId xmlns:a16="http://schemas.microsoft.com/office/drawing/2014/main" id="{00000000-0008-0000-0200-00002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31</xdr:row>
          <xdr:rowOff>0</xdr:rowOff>
        </xdr:from>
        <xdr:to>
          <xdr:col>10</xdr:col>
          <xdr:colOff>412750</xdr:colOff>
          <xdr:row>31</xdr:row>
          <xdr:rowOff>0</xdr:rowOff>
        </xdr:to>
        <xdr:sp macro="" textlink="">
          <xdr:nvSpPr>
            <xdr:cNvPr id="7204" name="Object 36" hidden="1">
              <a:extLst>
                <a:ext uri="{63B3BB69-23CF-44E3-9099-C40C66FF867C}">
                  <a14:compatExt spid="_x0000_s7204"/>
                </a:ext>
                <a:ext uri="{FF2B5EF4-FFF2-40B4-BE49-F238E27FC236}">
                  <a16:creationId xmlns:a16="http://schemas.microsoft.com/office/drawing/2014/main" id="{00000000-0008-0000-0200-00002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31</xdr:row>
          <xdr:rowOff>0</xdr:rowOff>
        </xdr:from>
        <xdr:to>
          <xdr:col>10</xdr:col>
          <xdr:colOff>412750</xdr:colOff>
          <xdr:row>31</xdr:row>
          <xdr:rowOff>0</xdr:rowOff>
        </xdr:to>
        <xdr:sp macro="" textlink="">
          <xdr:nvSpPr>
            <xdr:cNvPr id="7205" name="Object 37" hidden="1">
              <a:extLst>
                <a:ext uri="{63B3BB69-23CF-44E3-9099-C40C66FF867C}">
                  <a14:compatExt spid="_x0000_s7205"/>
                </a:ext>
                <a:ext uri="{FF2B5EF4-FFF2-40B4-BE49-F238E27FC236}">
                  <a16:creationId xmlns:a16="http://schemas.microsoft.com/office/drawing/2014/main" id="{00000000-0008-0000-0200-00002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31</xdr:row>
          <xdr:rowOff>0</xdr:rowOff>
        </xdr:from>
        <xdr:to>
          <xdr:col>10</xdr:col>
          <xdr:colOff>412750</xdr:colOff>
          <xdr:row>31</xdr:row>
          <xdr:rowOff>0</xdr:rowOff>
        </xdr:to>
        <xdr:sp macro="" textlink="">
          <xdr:nvSpPr>
            <xdr:cNvPr id="7206" name="Object 38" hidden="1">
              <a:extLst>
                <a:ext uri="{63B3BB69-23CF-44E3-9099-C40C66FF867C}">
                  <a14:compatExt spid="_x0000_s7206"/>
                </a:ext>
                <a:ext uri="{FF2B5EF4-FFF2-40B4-BE49-F238E27FC236}">
                  <a16:creationId xmlns:a16="http://schemas.microsoft.com/office/drawing/2014/main" id="{00000000-0008-0000-0200-00002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31</xdr:row>
          <xdr:rowOff>0</xdr:rowOff>
        </xdr:from>
        <xdr:to>
          <xdr:col>10</xdr:col>
          <xdr:colOff>412750</xdr:colOff>
          <xdr:row>31</xdr:row>
          <xdr:rowOff>0</xdr:rowOff>
        </xdr:to>
        <xdr:sp macro="" textlink="">
          <xdr:nvSpPr>
            <xdr:cNvPr id="7207" name="Object 39" hidden="1">
              <a:extLst>
                <a:ext uri="{63B3BB69-23CF-44E3-9099-C40C66FF867C}">
                  <a14:compatExt spid="_x0000_s7207"/>
                </a:ext>
                <a:ext uri="{FF2B5EF4-FFF2-40B4-BE49-F238E27FC236}">
                  <a16:creationId xmlns:a16="http://schemas.microsoft.com/office/drawing/2014/main" id="{00000000-0008-0000-0200-00002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31</xdr:row>
          <xdr:rowOff>0</xdr:rowOff>
        </xdr:from>
        <xdr:to>
          <xdr:col>10</xdr:col>
          <xdr:colOff>412750</xdr:colOff>
          <xdr:row>31</xdr:row>
          <xdr:rowOff>0</xdr:rowOff>
        </xdr:to>
        <xdr:sp macro="" textlink="">
          <xdr:nvSpPr>
            <xdr:cNvPr id="7208" name="Object 40" hidden="1">
              <a:extLst>
                <a:ext uri="{63B3BB69-23CF-44E3-9099-C40C66FF867C}">
                  <a14:compatExt spid="_x0000_s7208"/>
                </a:ext>
                <a:ext uri="{FF2B5EF4-FFF2-40B4-BE49-F238E27FC236}">
                  <a16:creationId xmlns:a16="http://schemas.microsoft.com/office/drawing/2014/main" id="{00000000-0008-0000-0200-00002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31</xdr:row>
          <xdr:rowOff>0</xdr:rowOff>
        </xdr:from>
        <xdr:to>
          <xdr:col>10</xdr:col>
          <xdr:colOff>412750</xdr:colOff>
          <xdr:row>31</xdr:row>
          <xdr:rowOff>0</xdr:rowOff>
        </xdr:to>
        <xdr:sp macro="" textlink="">
          <xdr:nvSpPr>
            <xdr:cNvPr id="7209" name="Object 41" hidden="1">
              <a:extLst>
                <a:ext uri="{63B3BB69-23CF-44E3-9099-C40C66FF867C}">
                  <a14:compatExt spid="_x0000_s7209"/>
                </a:ext>
                <a:ext uri="{FF2B5EF4-FFF2-40B4-BE49-F238E27FC236}">
                  <a16:creationId xmlns:a16="http://schemas.microsoft.com/office/drawing/2014/main" id="{00000000-0008-0000-0200-00002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31</xdr:row>
          <xdr:rowOff>0</xdr:rowOff>
        </xdr:from>
        <xdr:to>
          <xdr:col>10</xdr:col>
          <xdr:colOff>419100</xdr:colOff>
          <xdr:row>31</xdr:row>
          <xdr:rowOff>0</xdr:rowOff>
        </xdr:to>
        <xdr:sp macro="" textlink="">
          <xdr:nvSpPr>
            <xdr:cNvPr id="7210" name="Object 42" hidden="1">
              <a:extLst>
                <a:ext uri="{63B3BB69-23CF-44E3-9099-C40C66FF867C}">
                  <a14:compatExt spid="_x0000_s7210"/>
                </a:ext>
                <a:ext uri="{FF2B5EF4-FFF2-40B4-BE49-F238E27FC236}">
                  <a16:creationId xmlns:a16="http://schemas.microsoft.com/office/drawing/2014/main" id="{00000000-0008-0000-0200-00002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</xdr:row>
          <xdr:rowOff>0</xdr:rowOff>
        </xdr:from>
        <xdr:to>
          <xdr:col>10</xdr:col>
          <xdr:colOff>412750</xdr:colOff>
          <xdr:row>3</xdr:row>
          <xdr:rowOff>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3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</xdr:row>
          <xdr:rowOff>0</xdr:rowOff>
        </xdr:from>
        <xdr:to>
          <xdr:col>10</xdr:col>
          <xdr:colOff>412750</xdr:colOff>
          <xdr:row>3</xdr:row>
          <xdr:rowOff>0</xdr:rowOff>
        </xdr:to>
        <xdr:sp macro="" textlink="">
          <xdr:nvSpPr>
            <xdr:cNvPr id="6146" name="Object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3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</xdr:row>
          <xdr:rowOff>0</xdr:rowOff>
        </xdr:from>
        <xdr:to>
          <xdr:col>10</xdr:col>
          <xdr:colOff>412750</xdr:colOff>
          <xdr:row>3</xdr:row>
          <xdr:rowOff>0</xdr:rowOff>
        </xdr:to>
        <xdr:sp macro="" textlink="">
          <xdr:nvSpPr>
            <xdr:cNvPr id="6147" name="Object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3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</xdr:row>
          <xdr:rowOff>0</xdr:rowOff>
        </xdr:from>
        <xdr:to>
          <xdr:col>10</xdr:col>
          <xdr:colOff>412750</xdr:colOff>
          <xdr:row>3</xdr:row>
          <xdr:rowOff>0</xdr:rowOff>
        </xdr:to>
        <xdr:sp macro="" textlink="">
          <xdr:nvSpPr>
            <xdr:cNvPr id="6148" name="Object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3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</xdr:row>
          <xdr:rowOff>0</xdr:rowOff>
        </xdr:from>
        <xdr:to>
          <xdr:col>10</xdr:col>
          <xdr:colOff>412750</xdr:colOff>
          <xdr:row>3</xdr:row>
          <xdr:rowOff>0</xdr:rowOff>
        </xdr:to>
        <xdr:sp macro="" textlink="">
          <xdr:nvSpPr>
            <xdr:cNvPr id="6149" name="Object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3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</xdr:row>
          <xdr:rowOff>0</xdr:rowOff>
        </xdr:from>
        <xdr:to>
          <xdr:col>10</xdr:col>
          <xdr:colOff>412750</xdr:colOff>
          <xdr:row>3</xdr:row>
          <xdr:rowOff>0</xdr:rowOff>
        </xdr:to>
        <xdr:sp macro="" textlink="">
          <xdr:nvSpPr>
            <xdr:cNvPr id="6150" name="Object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3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</xdr:row>
          <xdr:rowOff>0</xdr:rowOff>
        </xdr:from>
        <xdr:to>
          <xdr:col>10</xdr:col>
          <xdr:colOff>412750</xdr:colOff>
          <xdr:row>3</xdr:row>
          <xdr:rowOff>0</xdr:rowOff>
        </xdr:to>
        <xdr:sp macro="" textlink="">
          <xdr:nvSpPr>
            <xdr:cNvPr id="6151" name="Object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3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</xdr:row>
          <xdr:rowOff>0</xdr:rowOff>
        </xdr:from>
        <xdr:to>
          <xdr:col>10</xdr:col>
          <xdr:colOff>412750</xdr:colOff>
          <xdr:row>3</xdr:row>
          <xdr:rowOff>0</xdr:rowOff>
        </xdr:to>
        <xdr:sp macro="" textlink="">
          <xdr:nvSpPr>
            <xdr:cNvPr id="6152" name="Object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3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</xdr:row>
          <xdr:rowOff>0</xdr:rowOff>
        </xdr:from>
        <xdr:to>
          <xdr:col>10</xdr:col>
          <xdr:colOff>412750</xdr:colOff>
          <xdr:row>3</xdr:row>
          <xdr:rowOff>0</xdr:rowOff>
        </xdr:to>
        <xdr:sp macro="" textlink="">
          <xdr:nvSpPr>
            <xdr:cNvPr id="6153" name="Object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3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</xdr:row>
          <xdr:rowOff>0</xdr:rowOff>
        </xdr:from>
        <xdr:to>
          <xdr:col>10</xdr:col>
          <xdr:colOff>412750</xdr:colOff>
          <xdr:row>3</xdr:row>
          <xdr:rowOff>0</xdr:rowOff>
        </xdr:to>
        <xdr:sp macro="" textlink="">
          <xdr:nvSpPr>
            <xdr:cNvPr id="6154" name="Object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00000000-0008-0000-0300-00000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3</xdr:row>
          <xdr:rowOff>0</xdr:rowOff>
        </xdr:from>
        <xdr:to>
          <xdr:col>10</xdr:col>
          <xdr:colOff>419100</xdr:colOff>
          <xdr:row>3</xdr:row>
          <xdr:rowOff>0</xdr:rowOff>
        </xdr:to>
        <xdr:sp macro="" textlink="">
          <xdr:nvSpPr>
            <xdr:cNvPr id="6155" name="Object 11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id="{00000000-0008-0000-0300-00000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84</xdr:row>
          <xdr:rowOff>0</xdr:rowOff>
        </xdr:from>
        <xdr:to>
          <xdr:col>10</xdr:col>
          <xdr:colOff>412750</xdr:colOff>
          <xdr:row>84</xdr:row>
          <xdr:rowOff>0</xdr:rowOff>
        </xdr:to>
        <xdr:sp macro="" textlink="">
          <xdr:nvSpPr>
            <xdr:cNvPr id="6156" name="Object 12" hidden="1">
              <a:extLst>
                <a:ext uri="{63B3BB69-23CF-44E3-9099-C40C66FF867C}">
                  <a14:compatExt spid="_x0000_s6156"/>
                </a:ext>
                <a:ext uri="{FF2B5EF4-FFF2-40B4-BE49-F238E27FC236}">
                  <a16:creationId xmlns:a16="http://schemas.microsoft.com/office/drawing/2014/main" id="{00000000-0008-0000-0300-00000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84</xdr:row>
          <xdr:rowOff>0</xdr:rowOff>
        </xdr:from>
        <xdr:to>
          <xdr:col>10</xdr:col>
          <xdr:colOff>412750</xdr:colOff>
          <xdr:row>84</xdr:row>
          <xdr:rowOff>0</xdr:rowOff>
        </xdr:to>
        <xdr:sp macro="" textlink="">
          <xdr:nvSpPr>
            <xdr:cNvPr id="6157" name="Object 13" hidden="1">
              <a:extLst>
                <a:ext uri="{63B3BB69-23CF-44E3-9099-C40C66FF867C}">
                  <a14:compatExt spid="_x0000_s6157"/>
                </a:ext>
                <a:ext uri="{FF2B5EF4-FFF2-40B4-BE49-F238E27FC236}">
                  <a16:creationId xmlns:a16="http://schemas.microsoft.com/office/drawing/2014/main" id="{00000000-0008-0000-0300-00000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84</xdr:row>
          <xdr:rowOff>0</xdr:rowOff>
        </xdr:from>
        <xdr:to>
          <xdr:col>10</xdr:col>
          <xdr:colOff>412750</xdr:colOff>
          <xdr:row>84</xdr:row>
          <xdr:rowOff>0</xdr:rowOff>
        </xdr:to>
        <xdr:sp macro="" textlink="">
          <xdr:nvSpPr>
            <xdr:cNvPr id="6158" name="Object 14" hidden="1">
              <a:extLst>
                <a:ext uri="{63B3BB69-23CF-44E3-9099-C40C66FF867C}">
                  <a14:compatExt spid="_x0000_s6158"/>
                </a:ext>
                <a:ext uri="{FF2B5EF4-FFF2-40B4-BE49-F238E27FC236}">
                  <a16:creationId xmlns:a16="http://schemas.microsoft.com/office/drawing/2014/main" id="{00000000-0008-0000-0300-00000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84</xdr:row>
          <xdr:rowOff>0</xdr:rowOff>
        </xdr:from>
        <xdr:to>
          <xdr:col>10</xdr:col>
          <xdr:colOff>412750</xdr:colOff>
          <xdr:row>84</xdr:row>
          <xdr:rowOff>0</xdr:rowOff>
        </xdr:to>
        <xdr:sp macro="" textlink="">
          <xdr:nvSpPr>
            <xdr:cNvPr id="6159" name="Object 15" hidden="1">
              <a:extLst>
                <a:ext uri="{63B3BB69-23CF-44E3-9099-C40C66FF867C}">
                  <a14:compatExt spid="_x0000_s6159"/>
                </a:ext>
                <a:ext uri="{FF2B5EF4-FFF2-40B4-BE49-F238E27FC236}">
                  <a16:creationId xmlns:a16="http://schemas.microsoft.com/office/drawing/2014/main" id="{00000000-0008-0000-0300-00000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84</xdr:row>
          <xdr:rowOff>0</xdr:rowOff>
        </xdr:from>
        <xdr:to>
          <xdr:col>10</xdr:col>
          <xdr:colOff>412750</xdr:colOff>
          <xdr:row>84</xdr:row>
          <xdr:rowOff>0</xdr:rowOff>
        </xdr:to>
        <xdr:sp macro="" textlink="">
          <xdr:nvSpPr>
            <xdr:cNvPr id="6160" name="Object 16" hidden="1">
              <a:extLst>
                <a:ext uri="{63B3BB69-23CF-44E3-9099-C40C66FF867C}">
                  <a14:compatExt spid="_x0000_s6160"/>
                </a:ext>
                <a:ext uri="{FF2B5EF4-FFF2-40B4-BE49-F238E27FC236}">
                  <a16:creationId xmlns:a16="http://schemas.microsoft.com/office/drawing/2014/main" id="{00000000-0008-0000-0300-00001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84</xdr:row>
          <xdr:rowOff>0</xdr:rowOff>
        </xdr:from>
        <xdr:to>
          <xdr:col>10</xdr:col>
          <xdr:colOff>412750</xdr:colOff>
          <xdr:row>84</xdr:row>
          <xdr:rowOff>0</xdr:rowOff>
        </xdr:to>
        <xdr:sp macro="" textlink="">
          <xdr:nvSpPr>
            <xdr:cNvPr id="6161" name="Object 17" hidden="1">
              <a:extLst>
                <a:ext uri="{63B3BB69-23CF-44E3-9099-C40C66FF867C}">
                  <a14:compatExt spid="_x0000_s6161"/>
                </a:ext>
                <a:ext uri="{FF2B5EF4-FFF2-40B4-BE49-F238E27FC236}">
                  <a16:creationId xmlns:a16="http://schemas.microsoft.com/office/drawing/2014/main" id="{00000000-0008-0000-0300-00001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84</xdr:row>
          <xdr:rowOff>0</xdr:rowOff>
        </xdr:from>
        <xdr:to>
          <xdr:col>10</xdr:col>
          <xdr:colOff>412750</xdr:colOff>
          <xdr:row>84</xdr:row>
          <xdr:rowOff>0</xdr:rowOff>
        </xdr:to>
        <xdr:sp macro="" textlink="">
          <xdr:nvSpPr>
            <xdr:cNvPr id="6162" name="Object 18" hidden="1">
              <a:extLst>
                <a:ext uri="{63B3BB69-23CF-44E3-9099-C40C66FF867C}">
                  <a14:compatExt spid="_x0000_s6162"/>
                </a:ext>
                <a:ext uri="{FF2B5EF4-FFF2-40B4-BE49-F238E27FC236}">
                  <a16:creationId xmlns:a16="http://schemas.microsoft.com/office/drawing/2014/main" id="{00000000-0008-0000-0300-00001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84</xdr:row>
          <xdr:rowOff>0</xdr:rowOff>
        </xdr:from>
        <xdr:to>
          <xdr:col>10</xdr:col>
          <xdr:colOff>412750</xdr:colOff>
          <xdr:row>84</xdr:row>
          <xdr:rowOff>0</xdr:rowOff>
        </xdr:to>
        <xdr:sp macro="" textlink="">
          <xdr:nvSpPr>
            <xdr:cNvPr id="6163" name="Object 19" hidden="1">
              <a:extLst>
                <a:ext uri="{63B3BB69-23CF-44E3-9099-C40C66FF867C}">
                  <a14:compatExt spid="_x0000_s6163"/>
                </a:ext>
                <a:ext uri="{FF2B5EF4-FFF2-40B4-BE49-F238E27FC236}">
                  <a16:creationId xmlns:a16="http://schemas.microsoft.com/office/drawing/2014/main" id="{00000000-0008-0000-0300-00001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84</xdr:row>
          <xdr:rowOff>0</xdr:rowOff>
        </xdr:from>
        <xdr:to>
          <xdr:col>10</xdr:col>
          <xdr:colOff>412750</xdr:colOff>
          <xdr:row>84</xdr:row>
          <xdr:rowOff>0</xdr:rowOff>
        </xdr:to>
        <xdr:sp macro="" textlink="">
          <xdr:nvSpPr>
            <xdr:cNvPr id="6164" name="Object 20" hidden="1">
              <a:extLst>
                <a:ext uri="{63B3BB69-23CF-44E3-9099-C40C66FF867C}">
                  <a14:compatExt spid="_x0000_s6164"/>
                </a:ext>
                <a:ext uri="{FF2B5EF4-FFF2-40B4-BE49-F238E27FC236}">
                  <a16:creationId xmlns:a16="http://schemas.microsoft.com/office/drawing/2014/main" id="{00000000-0008-0000-0300-00001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84</xdr:row>
          <xdr:rowOff>0</xdr:rowOff>
        </xdr:from>
        <xdr:to>
          <xdr:col>10</xdr:col>
          <xdr:colOff>412750</xdr:colOff>
          <xdr:row>84</xdr:row>
          <xdr:rowOff>0</xdr:rowOff>
        </xdr:to>
        <xdr:sp macro="" textlink="">
          <xdr:nvSpPr>
            <xdr:cNvPr id="6165" name="Object 21" hidden="1">
              <a:extLst>
                <a:ext uri="{63B3BB69-23CF-44E3-9099-C40C66FF867C}">
                  <a14:compatExt spid="_x0000_s6165"/>
                </a:ext>
                <a:ext uri="{FF2B5EF4-FFF2-40B4-BE49-F238E27FC236}">
                  <a16:creationId xmlns:a16="http://schemas.microsoft.com/office/drawing/2014/main" id="{00000000-0008-0000-0300-00001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31</xdr:row>
          <xdr:rowOff>0</xdr:rowOff>
        </xdr:from>
        <xdr:to>
          <xdr:col>10</xdr:col>
          <xdr:colOff>412750</xdr:colOff>
          <xdr:row>31</xdr:row>
          <xdr:rowOff>0</xdr:rowOff>
        </xdr:to>
        <xdr:sp macro="" textlink="">
          <xdr:nvSpPr>
            <xdr:cNvPr id="6167" name="Object 23" hidden="1">
              <a:extLst>
                <a:ext uri="{63B3BB69-23CF-44E3-9099-C40C66FF867C}">
                  <a14:compatExt spid="_x0000_s6167"/>
                </a:ext>
                <a:ext uri="{FF2B5EF4-FFF2-40B4-BE49-F238E27FC236}">
                  <a16:creationId xmlns:a16="http://schemas.microsoft.com/office/drawing/2014/main" id="{00000000-0008-0000-0300-00001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31</xdr:row>
          <xdr:rowOff>0</xdr:rowOff>
        </xdr:from>
        <xdr:to>
          <xdr:col>10</xdr:col>
          <xdr:colOff>412750</xdr:colOff>
          <xdr:row>31</xdr:row>
          <xdr:rowOff>0</xdr:rowOff>
        </xdr:to>
        <xdr:sp macro="" textlink="">
          <xdr:nvSpPr>
            <xdr:cNvPr id="6168" name="Object 24" hidden="1">
              <a:extLst>
                <a:ext uri="{63B3BB69-23CF-44E3-9099-C40C66FF867C}">
                  <a14:compatExt spid="_x0000_s6168"/>
                </a:ext>
                <a:ext uri="{FF2B5EF4-FFF2-40B4-BE49-F238E27FC236}">
                  <a16:creationId xmlns:a16="http://schemas.microsoft.com/office/drawing/2014/main" id="{00000000-0008-0000-0300-00001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31</xdr:row>
          <xdr:rowOff>0</xdr:rowOff>
        </xdr:from>
        <xdr:to>
          <xdr:col>10</xdr:col>
          <xdr:colOff>412750</xdr:colOff>
          <xdr:row>31</xdr:row>
          <xdr:rowOff>0</xdr:rowOff>
        </xdr:to>
        <xdr:sp macro="" textlink="">
          <xdr:nvSpPr>
            <xdr:cNvPr id="6169" name="Object 25" hidden="1">
              <a:extLst>
                <a:ext uri="{63B3BB69-23CF-44E3-9099-C40C66FF867C}">
                  <a14:compatExt spid="_x0000_s6169"/>
                </a:ext>
                <a:ext uri="{FF2B5EF4-FFF2-40B4-BE49-F238E27FC236}">
                  <a16:creationId xmlns:a16="http://schemas.microsoft.com/office/drawing/2014/main" id="{00000000-0008-0000-0300-00001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31</xdr:row>
          <xdr:rowOff>0</xdr:rowOff>
        </xdr:from>
        <xdr:to>
          <xdr:col>10</xdr:col>
          <xdr:colOff>412750</xdr:colOff>
          <xdr:row>31</xdr:row>
          <xdr:rowOff>0</xdr:rowOff>
        </xdr:to>
        <xdr:sp macro="" textlink="">
          <xdr:nvSpPr>
            <xdr:cNvPr id="6170" name="Object 26" hidden="1">
              <a:extLst>
                <a:ext uri="{63B3BB69-23CF-44E3-9099-C40C66FF867C}">
                  <a14:compatExt spid="_x0000_s6170"/>
                </a:ext>
                <a:ext uri="{FF2B5EF4-FFF2-40B4-BE49-F238E27FC236}">
                  <a16:creationId xmlns:a16="http://schemas.microsoft.com/office/drawing/2014/main" id="{00000000-0008-0000-0300-00001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31</xdr:row>
          <xdr:rowOff>0</xdr:rowOff>
        </xdr:from>
        <xdr:to>
          <xdr:col>10</xdr:col>
          <xdr:colOff>412750</xdr:colOff>
          <xdr:row>31</xdr:row>
          <xdr:rowOff>0</xdr:rowOff>
        </xdr:to>
        <xdr:sp macro="" textlink="">
          <xdr:nvSpPr>
            <xdr:cNvPr id="6171" name="Object 27" hidden="1">
              <a:extLst>
                <a:ext uri="{63B3BB69-23CF-44E3-9099-C40C66FF867C}">
                  <a14:compatExt spid="_x0000_s6171"/>
                </a:ext>
                <a:ext uri="{FF2B5EF4-FFF2-40B4-BE49-F238E27FC236}">
                  <a16:creationId xmlns:a16="http://schemas.microsoft.com/office/drawing/2014/main" id="{00000000-0008-0000-0300-00001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31</xdr:row>
          <xdr:rowOff>0</xdr:rowOff>
        </xdr:from>
        <xdr:to>
          <xdr:col>10</xdr:col>
          <xdr:colOff>412750</xdr:colOff>
          <xdr:row>31</xdr:row>
          <xdr:rowOff>0</xdr:rowOff>
        </xdr:to>
        <xdr:sp macro="" textlink="">
          <xdr:nvSpPr>
            <xdr:cNvPr id="6172" name="Object 28" hidden="1">
              <a:extLst>
                <a:ext uri="{63B3BB69-23CF-44E3-9099-C40C66FF867C}">
                  <a14:compatExt spid="_x0000_s6172"/>
                </a:ext>
                <a:ext uri="{FF2B5EF4-FFF2-40B4-BE49-F238E27FC236}">
                  <a16:creationId xmlns:a16="http://schemas.microsoft.com/office/drawing/2014/main" id="{00000000-0008-0000-0300-00001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31</xdr:row>
          <xdr:rowOff>0</xdr:rowOff>
        </xdr:from>
        <xdr:to>
          <xdr:col>10</xdr:col>
          <xdr:colOff>412750</xdr:colOff>
          <xdr:row>31</xdr:row>
          <xdr:rowOff>0</xdr:rowOff>
        </xdr:to>
        <xdr:sp macro="" textlink="">
          <xdr:nvSpPr>
            <xdr:cNvPr id="6173" name="Object 29" hidden="1">
              <a:extLst>
                <a:ext uri="{63B3BB69-23CF-44E3-9099-C40C66FF867C}">
                  <a14:compatExt spid="_x0000_s6173"/>
                </a:ext>
                <a:ext uri="{FF2B5EF4-FFF2-40B4-BE49-F238E27FC236}">
                  <a16:creationId xmlns:a16="http://schemas.microsoft.com/office/drawing/2014/main" id="{00000000-0008-0000-0300-00001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31</xdr:row>
          <xdr:rowOff>0</xdr:rowOff>
        </xdr:from>
        <xdr:to>
          <xdr:col>10</xdr:col>
          <xdr:colOff>412750</xdr:colOff>
          <xdr:row>31</xdr:row>
          <xdr:rowOff>0</xdr:rowOff>
        </xdr:to>
        <xdr:sp macro="" textlink="">
          <xdr:nvSpPr>
            <xdr:cNvPr id="6174" name="Object 30" hidden="1">
              <a:extLst>
                <a:ext uri="{63B3BB69-23CF-44E3-9099-C40C66FF867C}">
                  <a14:compatExt spid="_x0000_s6174"/>
                </a:ext>
                <a:ext uri="{FF2B5EF4-FFF2-40B4-BE49-F238E27FC236}">
                  <a16:creationId xmlns:a16="http://schemas.microsoft.com/office/drawing/2014/main" id="{00000000-0008-0000-0300-00001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31</xdr:row>
          <xdr:rowOff>0</xdr:rowOff>
        </xdr:from>
        <xdr:to>
          <xdr:col>10</xdr:col>
          <xdr:colOff>412750</xdr:colOff>
          <xdr:row>31</xdr:row>
          <xdr:rowOff>0</xdr:rowOff>
        </xdr:to>
        <xdr:sp macro="" textlink="">
          <xdr:nvSpPr>
            <xdr:cNvPr id="6175" name="Object 31" hidden="1">
              <a:extLst>
                <a:ext uri="{63B3BB69-23CF-44E3-9099-C40C66FF867C}">
                  <a14:compatExt spid="_x0000_s6175"/>
                </a:ext>
                <a:ext uri="{FF2B5EF4-FFF2-40B4-BE49-F238E27FC236}">
                  <a16:creationId xmlns:a16="http://schemas.microsoft.com/office/drawing/2014/main" id="{00000000-0008-0000-0300-00001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31</xdr:row>
          <xdr:rowOff>0</xdr:rowOff>
        </xdr:from>
        <xdr:to>
          <xdr:col>10</xdr:col>
          <xdr:colOff>412750</xdr:colOff>
          <xdr:row>31</xdr:row>
          <xdr:rowOff>0</xdr:rowOff>
        </xdr:to>
        <xdr:sp macro="" textlink="">
          <xdr:nvSpPr>
            <xdr:cNvPr id="6176" name="Object 32" hidden="1">
              <a:extLst>
                <a:ext uri="{63B3BB69-23CF-44E3-9099-C40C66FF867C}">
                  <a14:compatExt spid="_x0000_s6176"/>
                </a:ext>
                <a:ext uri="{FF2B5EF4-FFF2-40B4-BE49-F238E27FC236}">
                  <a16:creationId xmlns:a16="http://schemas.microsoft.com/office/drawing/2014/main" id="{00000000-0008-0000-0300-00002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31</xdr:row>
          <xdr:rowOff>0</xdr:rowOff>
        </xdr:from>
        <xdr:to>
          <xdr:col>10</xdr:col>
          <xdr:colOff>412750</xdr:colOff>
          <xdr:row>31</xdr:row>
          <xdr:rowOff>0</xdr:rowOff>
        </xdr:to>
        <xdr:sp macro="" textlink="">
          <xdr:nvSpPr>
            <xdr:cNvPr id="6177" name="Object 33" hidden="1">
              <a:extLst>
                <a:ext uri="{63B3BB69-23CF-44E3-9099-C40C66FF867C}">
                  <a14:compatExt spid="_x0000_s6177"/>
                </a:ext>
                <a:ext uri="{FF2B5EF4-FFF2-40B4-BE49-F238E27FC236}">
                  <a16:creationId xmlns:a16="http://schemas.microsoft.com/office/drawing/2014/main" id="{00000000-0008-0000-0300-00002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31</xdr:row>
          <xdr:rowOff>0</xdr:rowOff>
        </xdr:from>
        <xdr:to>
          <xdr:col>10</xdr:col>
          <xdr:colOff>412750</xdr:colOff>
          <xdr:row>31</xdr:row>
          <xdr:rowOff>0</xdr:rowOff>
        </xdr:to>
        <xdr:sp macro="" textlink="">
          <xdr:nvSpPr>
            <xdr:cNvPr id="6178" name="Object 34" hidden="1">
              <a:extLst>
                <a:ext uri="{63B3BB69-23CF-44E3-9099-C40C66FF867C}">
                  <a14:compatExt spid="_x0000_s6178"/>
                </a:ext>
                <a:ext uri="{FF2B5EF4-FFF2-40B4-BE49-F238E27FC236}">
                  <a16:creationId xmlns:a16="http://schemas.microsoft.com/office/drawing/2014/main" id="{00000000-0008-0000-0300-00002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31</xdr:row>
          <xdr:rowOff>0</xdr:rowOff>
        </xdr:from>
        <xdr:to>
          <xdr:col>10</xdr:col>
          <xdr:colOff>412750</xdr:colOff>
          <xdr:row>31</xdr:row>
          <xdr:rowOff>0</xdr:rowOff>
        </xdr:to>
        <xdr:sp macro="" textlink="">
          <xdr:nvSpPr>
            <xdr:cNvPr id="6179" name="Object 35" hidden="1">
              <a:extLst>
                <a:ext uri="{63B3BB69-23CF-44E3-9099-C40C66FF867C}">
                  <a14:compatExt spid="_x0000_s6179"/>
                </a:ext>
                <a:ext uri="{FF2B5EF4-FFF2-40B4-BE49-F238E27FC236}">
                  <a16:creationId xmlns:a16="http://schemas.microsoft.com/office/drawing/2014/main" id="{00000000-0008-0000-0300-00002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31</xdr:row>
          <xdr:rowOff>0</xdr:rowOff>
        </xdr:from>
        <xdr:to>
          <xdr:col>10</xdr:col>
          <xdr:colOff>412750</xdr:colOff>
          <xdr:row>31</xdr:row>
          <xdr:rowOff>0</xdr:rowOff>
        </xdr:to>
        <xdr:sp macro="" textlink="">
          <xdr:nvSpPr>
            <xdr:cNvPr id="6180" name="Object 36" hidden="1">
              <a:extLst>
                <a:ext uri="{63B3BB69-23CF-44E3-9099-C40C66FF867C}">
                  <a14:compatExt spid="_x0000_s6180"/>
                </a:ext>
                <a:ext uri="{FF2B5EF4-FFF2-40B4-BE49-F238E27FC236}">
                  <a16:creationId xmlns:a16="http://schemas.microsoft.com/office/drawing/2014/main" id="{00000000-0008-0000-0300-00002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31</xdr:row>
          <xdr:rowOff>0</xdr:rowOff>
        </xdr:from>
        <xdr:to>
          <xdr:col>10</xdr:col>
          <xdr:colOff>412750</xdr:colOff>
          <xdr:row>31</xdr:row>
          <xdr:rowOff>0</xdr:rowOff>
        </xdr:to>
        <xdr:sp macro="" textlink="">
          <xdr:nvSpPr>
            <xdr:cNvPr id="6181" name="Object 37" hidden="1">
              <a:extLst>
                <a:ext uri="{63B3BB69-23CF-44E3-9099-C40C66FF867C}">
                  <a14:compatExt spid="_x0000_s6181"/>
                </a:ext>
                <a:ext uri="{FF2B5EF4-FFF2-40B4-BE49-F238E27FC236}">
                  <a16:creationId xmlns:a16="http://schemas.microsoft.com/office/drawing/2014/main" id="{00000000-0008-0000-0300-00002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31</xdr:row>
          <xdr:rowOff>0</xdr:rowOff>
        </xdr:from>
        <xdr:to>
          <xdr:col>10</xdr:col>
          <xdr:colOff>412750</xdr:colOff>
          <xdr:row>31</xdr:row>
          <xdr:rowOff>0</xdr:rowOff>
        </xdr:to>
        <xdr:sp macro="" textlink="">
          <xdr:nvSpPr>
            <xdr:cNvPr id="6182" name="Object 38" hidden="1">
              <a:extLst>
                <a:ext uri="{63B3BB69-23CF-44E3-9099-C40C66FF867C}">
                  <a14:compatExt spid="_x0000_s6182"/>
                </a:ext>
                <a:ext uri="{FF2B5EF4-FFF2-40B4-BE49-F238E27FC236}">
                  <a16:creationId xmlns:a16="http://schemas.microsoft.com/office/drawing/2014/main" id="{00000000-0008-0000-0300-00002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31</xdr:row>
          <xdr:rowOff>0</xdr:rowOff>
        </xdr:from>
        <xdr:to>
          <xdr:col>10</xdr:col>
          <xdr:colOff>412750</xdr:colOff>
          <xdr:row>31</xdr:row>
          <xdr:rowOff>0</xdr:rowOff>
        </xdr:to>
        <xdr:sp macro="" textlink="">
          <xdr:nvSpPr>
            <xdr:cNvPr id="6183" name="Object 39" hidden="1">
              <a:extLst>
                <a:ext uri="{63B3BB69-23CF-44E3-9099-C40C66FF867C}">
                  <a14:compatExt spid="_x0000_s6183"/>
                </a:ext>
                <a:ext uri="{FF2B5EF4-FFF2-40B4-BE49-F238E27FC236}">
                  <a16:creationId xmlns:a16="http://schemas.microsoft.com/office/drawing/2014/main" id="{00000000-0008-0000-0300-00002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31</xdr:row>
          <xdr:rowOff>0</xdr:rowOff>
        </xdr:from>
        <xdr:to>
          <xdr:col>10</xdr:col>
          <xdr:colOff>412750</xdr:colOff>
          <xdr:row>31</xdr:row>
          <xdr:rowOff>0</xdr:rowOff>
        </xdr:to>
        <xdr:sp macro="" textlink="">
          <xdr:nvSpPr>
            <xdr:cNvPr id="6184" name="Object 40" hidden="1">
              <a:extLst>
                <a:ext uri="{63B3BB69-23CF-44E3-9099-C40C66FF867C}">
                  <a14:compatExt spid="_x0000_s6184"/>
                </a:ext>
                <a:ext uri="{FF2B5EF4-FFF2-40B4-BE49-F238E27FC236}">
                  <a16:creationId xmlns:a16="http://schemas.microsoft.com/office/drawing/2014/main" id="{00000000-0008-0000-0300-00002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31</xdr:row>
          <xdr:rowOff>0</xdr:rowOff>
        </xdr:from>
        <xdr:to>
          <xdr:col>10</xdr:col>
          <xdr:colOff>412750</xdr:colOff>
          <xdr:row>31</xdr:row>
          <xdr:rowOff>0</xdr:rowOff>
        </xdr:to>
        <xdr:sp macro="" textlink="">
          <xdr:nvSpPr>
            <xdr:cNvPr id="6185" name="Object 41" hidden="1">
              <a:extLst>
                <a:ext uri="{63B3BB69-23CF-44E3-9099-C40C66FF867C}">
                  <a14:compatExt spid="_x0000_s6185"/>
                </a:ext>
                <a:ext uri="{FF2B5EF4-FFF2-40B4-BE49-F238E27FC236}">
                  <a16:creationId xmlns:a16="http://schemas.microsoft.com/office/drawing/2014/main" id="{00000000-0008-0000-0300-00002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31</xdr:row>
          <xdr:rowOff>0</xdr:rowOff>
        </xdr:from>
        <xdr:to>
          <xdr:col>10</xdr:col>
          <xdr:colOff>419100</xdr:colOff>
          <xdr:row>31</xdr:row>
          <xdr:rowOff>0</xdr:rowOff>
        </xdr:to>
        <xdr:sp macro="" textlink="">
          <xdr:nvSpPr>
            <xdr:cNvPr id="6186" name="Object 42" hidden="1">
              <a:extLst>
                <a:ext uri="{63B3BB69-23CF-44E3-9099-C40C66FF867C}">
                  <a14:compatExt spid="_x0000_s6186"/>
                </a:ext>
                <a:ext uri="{FF2B5EF4-FFF2-40B4-BE49-F238E27FC236}">
                  <a16:creationId xmlns:a16="http://schemas.microsoft.com/office/drawing/2014/main" id="{00000000-0008-0000-0300-00002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12700</xdr:colOff>
          <xdr:row>3</xdr:row>
          <xdr:rowOff>0</xdr:rowOff>
        </xdr:from>
        <xdr:to>
          <xdr:col>13</xdr:col>
          <xdr:colOff>0</xdr:colOff>
          <xdr:row>3</xdr:row>
          <xdr:rowOff>0</xdr:rowOff>
        </xdr:to>
        <xdr:sp macro="" textlink="">
          <xdr:nvSpPr>
            <xdr:cNvPr id="13313" name="Object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5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12700</xdr:colOff>
          <xdr:row>3</xdr:row>
          <xdr:rowOff>0</xdr:rowOff>
        </xdr:from>
        <xdr:to>
          <xdr:col>13</xdr:col>
          <xdr:colOff>0</xdr:colOff>
          <xdr:row>3</xdr:row>
          <xdr:rowOff>0</xdr:rowOff>
        </xdr:to>
        <xdr:sp macro="" textlink="">
          <xdr:nvSpPr>
            <xdr:cNvPr id="13314" name="Object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5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12700</xdr:colOff>
          <xdr:row>3</xdr:row>
          <xdr:rowOff>0</xdr:rowOff>
        </xdr:from>
        <xdr:to>
          <xdr:col>13</xdr:col>
          <xdr:colOff>0</xdr:colOff>
          <xdr:row>3</xdr:row>
          <xdr:rowOff>0</xdr:rowOff>
        </xdr:to>
        <xdr:sp macro="" textlink="">
          <xdr:nvSpPr>
            <xdr:cNvPr id="13315" name="Object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5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12700</xdr:colOff>
          <xdr:row>3</xdr:row>
          <xdr:rowOff>0</xdr:rowOff>
        </xdr:from>
        <xdr:to>
          <xdr:col>13</xdr:col>
          <xdr:colOff>0</xdr:colOff>
          <xdr:row>3</xdr:row>
          <xdr:rowOff>0</xdr:rowOff>
        </xdr:to>
        <xdr:sp macro="" textlink="">
          <xdr:nvSpPr>
            <xdr:cNvPr id="13316" name="Object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5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12700</xdr:colOff>
          <xdr:row>3</xdr:row>
          <xdr:rowOff>0</xdr:rowOff>
        </xdr:from>
        <xdr:to>
          <xdr:col>13</xdr:col>
          <xdr:colOff>0</xdr:colOff>
          <xdr:row>3</xdr:row>
          <xdr:rowOff>0</xdr:rowOff>
        </xdr:to>
        <xdr:sp macro="" textlink="">
          <xdr:nvSpPr>
            <xdr:cNvPr id="13317" name="Object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5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12700</xdr:colOff>
          <xdr:row>3</xdr:row>
          <xdr:rowOff>0</xdr:rowOff>
        </xdr:from>
        <xdr:to>
          <xdr:col>13</xdr:col>
          <xdr:colOff>0</xdr:colOff>
          <xdr:row>3</xdr:row>
          <xdr:rowOff>0</xdr:rowOff>
        </xdr:to>
        <xdr:sp macro="" textlink="">
          <xdr:nvSpPr>
            <xdr:cNvPr id="13318" name="Object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5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12700</xdr:colOff>
          <xdr:row>3</xdr:row>
          <xdr:rowOff>0</xdr:rowOff>
        </xdr:from>
        <xdr:to>
          <xdr:col>13</xdr:col>
          <xdr:colOff>0</xdr:colOff>
          <xdr:row>3</xdr:row>
          <xdr:rowOff>0</xdr:rowOff>
        </xdr:to>
        <xdr:sp macro="" textlink="">
          <xdr:nvSpPr>
            <xdr:cNvPr id="13319" name="Object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5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12700</xdr:colOff>
          <xdr:row>3</xdr:row>
          <xdr:rowOff>0</xdr:rowOff>
        </xdr:from>
        <xdr:to>
          <xdr:col>13</xdr:col>
          <xdr:colOff>0</xdr:colOff>
          <xdr:row>3</xdr:row>
          <xdr:rowOff>0</xdr:rowOff>
        </xdr:to>
        <xdr:sp macro="" textlink="">
          <xdr:nvSpPr>
            <xdr:cNvPr id="13320" name="Object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5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12700</xdr:colOff>
          <xdr:row>3</xdr:row>
          <xdr:rowOff>0</xdr:rowOff>
        </xdr:from>
        <xdr:to>
          <xdr:col>13</xdr:col>
          <xdr:colOff>0</xdr:colOff>
          <xdr:row>3</xdr:row>
          <xdr:rowOff>0</xdr:rowOff>
        </xdr:to>
        <xdr:sp macro="" textlink="">
          <xdr:nvSpPr>
            <xdr:cNvPr id="13321" name="Object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5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12700</xdr:colOff>
          <xdr:row>3</xdr:row>
          <xdr:rowOff>0</xdr:rowOff>
        </xdr:from>
        <xdr:to>
          <xdr:col>13</xdr:col>
          <xdr:colOff>0</xdr:colOff>
          <xdr:row>3</xdr:row>
          <xdr:rowOff>0</xdr:rowOff>
        </xdr:to>
        <xdr:sp macro="" textlink="">
          <xdr:nvSpPr>
            <xdr:cNvPr id="13322" name="Object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5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38100</xdr:colOff>
          <xdr:row>3</xdr:row>
          <xdr:rowOff>0</xdr:rowOff>
        </xdr:from>
        <xdr:to>
          <xdr:col>13</xdr:col>
          <xdr:colOff>0</xdr:colOff>
          <xdr:row>3</xdr:row>
          <xdr:rowOff>0</xdr:rowOff>
        </xdr:to>
        <xdr:sp macro="" textlink="">
          <xdr:nvSpPr>
            <xdr:cNvPr id="13323" name="Object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5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12700</xdr:colOff>
          <xdr:row>87</xdr:row>
          <xdr:rowOff>0</xdr:rowOff>
        </xdr:from>
        <xdr:to>
          <xdr:col>13</xdr:col>
          <xdr:colOff>0</xdr:colOff>
          <xdr:row>87</xdr:row>
          <xdr:rowOff>0</xdr:rowOff>
        </xdr:to>
        <xdr:sp macro="" textlink="">
          <xdr:nvSpPr>
            <xdr:cNvPr id="13324" name="Object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5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12700</xdr:colOff>
          <xdr:row>87</xdr:row>
          <xdr:rowOff>0</xdr:rowOff>
        </xdr:from>
        <xdr:to>
          <xdr:col>13</xdr:col>
          <xdr:colOff>0</xdr:colOff>
          <xdr:row>87</xdr:row>
          <xdr:rowOff>0</xdr:rowOff>
        </xdr:to>
        <xdr:sp macro="" textlink="">
          <xdr:nvSpPr>
            <xdr:cNvPr id="13325" name="Object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5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12700</xdr:colOff>
          <xdr:row>87</xdr:row>
          <xdr:rowOff>0</xdr:rowOff>
        </xdr:from>
        <xdr:to>
          <xdr:col>13</xdr:col>
          <xdr:colOff>0</xdr:colOff>
          <xdr:row>87</xdr:row>
          <xdr:rowOff>0</xdr:rowOff>
        </xdr:to>
        <xdr:sp macro="" textlink="">
          <xdr:nvSpPr>
            <xdr:cNvPr id="13326" name="Object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5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12700</xdr:colOff>
          <xdr:row>87</xdr:row>
          <xdr:rowOff>0</xdr:rowOff>
        </xdr:from>
        <xdr:to>
          <xdr:col>13</xdr:col>
          <xdr:colOff>0</xdr:colOff>
          <xdr:row>87</xdr:row>
          <xdr:rowOff>0</xdr:rowOff>
        </xdr:to>
        <xdr:sp macro="" textlink="">
          <xdr:nvSpPr>
            <xdr:cNvPr id="13327" name="Object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5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12700</xdr:colOff>
          <xdr:row>87</xdr:row>
          <xdr:rowOff>0</xdr:rowOff>
        </xdr:from>
        <xdr:to>
          <xdr:col>13</xdr:col>
          <xdr:colOff>0</xdr:colOff>
          <xdr:row>87</xdr:row>
          <xdr:rowOff>0</xdr:rowOff>
        </xdr:to>
        <xdr:sp macro="" textlink="">
          <xdr:nvSpPr>
            <xdr:cNvPr id="13328" name="Object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5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12700</xdr:colOff>
          <xdr:row>87</xdr:row>
          <xdr:rowOff>0</xdr:rowOff>
        </xdr:from>
        <xdr:to>
          <xdr:col>13</xdr:col>
          <xdr:colOff>0</xdr:colOff>
          <xdr:row>87</xdr:row>
          <xdr:rowOff>0</xdr:rowOff>
        </xdr:to>
        <xdr:sp macro="" textlink="">
          <xdr:nvSpPr>
            <xdr:cNvPr id="13329" name="Object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5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12700</xdr:colOff>
          <xdr:row>87</xdr:row>
          <xdr:rowOff>0</xdr:rowOff>
        </xdr:from>
        <xdr:to>
          <xdr:col>13</xdr:col>
          <xdr:colOff>0</xdr:colOff>
          <xdr:row>87</xdr:row>
          <xdr:rowOff>0</xdr:rowOff>
        </xdr:to>
        <xdr:sp macro="" textlink="">
          <xdr:nvSpPr>
            <xdr:cNvPr id="13330" name="Object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5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12700</xdr:colOff>
          <xdr:row>87</xdr:row>
          <xdr:rowOff>0</xdr:rowOff>
        </xdr:from>
        <xdr:to>
          <xdr:col>13</xdr:col>
          <xdr:colOff>0</xdr:colOff>
          <xdr:row>87</xdr:row>
          <xdr:rowOff>0</xdr:rowOff>
        </xdr:to>
        <xdr:sp macro="" textlink="">
          <xdr:nvSpPr>
            <xdr:cNvPr id="13331" name="Object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5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12700</xdr:colOff>
          <xdr:row>87</xdr:row>
          <xdr:rowOff>0</xdr:rowOff>
        </xdr:from>
        <xdr:to>
          <xdr:col>13</xdr:col>
          <xdr:colOff>0</xdr:colOff>
          <xdr:row>87</xdr:row>
          <xdr:rowOff>0</xdr:rowOff>
        </xdr:to>
        <xdr:sp macro="" textlink="">
          <xdr:nvSpPr>
            <xdr:cNvPr id="13332" name="Object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5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12700</xdr:colOff>
          <xdr:row>87</xdr:row>
          <xdr:rowOff>0</xdr:rowOff>
        </xdr:from>
        <xdr:to>
          <xdr:col>13</xdr:col>
          <xdr:colOff>0</xdr:colOff>
          <xdr:row>87</xdr:row>
          <xdr:rowOff>0</xdr:rowOff>
        </xdr:to>
        <xdr:sp macro="" textlink="">
          <xdr:nvSpPr>
            <xdr:cNvPr id="13333" name="Object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5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38100</xdr:colOff>
          <xdr:row>87</xdr:row>
          <xdr:rowOff>0</xdr:rowOff>
        </xdr:from>
        <xdr:to>
          <xdr:col>13</xdr:col>
          <xdr:colOff>0</xdr:colOff>
          <xdr:row>87</xdr:row>
          <xdr:rowOff>0</xdr:rowOff>
        </xdr:to>
        <xdr:sp macro="" textlink="">
          <xdr:nvSpPr>
            <xdr:cNvPr id="13334" name="Object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5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30</xdr:row>
          <xdr:rowOff>0</xdr:rowOff>
        </xdr:from>
        <xdr:to>
          <xdr:col>10</xdr:col>
          <xdr:colOff>0</xdr:colOff>
          <xdr:row>30</xdr:row>
          <xdr:rowOff>0</xdr:rowOff>
        </xdr:to>
        <xdr:sp macro="" textlink="">
          <xdr:nvSpPr>
            <xdr:cNvPr id="13335" name="Object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5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30</xdr:row>
          <xdr:rowOff>0</xdr:rowOff>
        </xdr:from>
        <xdr:to>
          <xdr:col>10</xdr:col>
          <xdr:colOff>0</xdr:colOff>
          <xdr:row>30</xdr:row>
          <xdr:rowOff>0</xdr:rowOff>
        </xdr:to>
        <xdr:sp macro="" textlink="">
          <xdr:nvSpPr>
            <xdr:cNvPr id="13336" name="Object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5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30</xdr:row>
          <xdr:rowOff>0</xdr:rowOff>
        </xdr:from>
        <xdr:to>
          <xdr:col>10</xdr:col>
          <xdr:colOff>0</xdr:colOff>
          <xdr:row>30</xdr:row>
          <xdr:rowOff>0</xdr:rowOff>
        </xdr:to>
        <xdr:sp macro="" textlink="">
          <xdr:nvSpPr>
            <xdr:cNvPr id="13337" name="Object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5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30</xdr:row>
          <xdr:rowOff>0</xdr:rowOff>
        </xdr:from>
        <xdr:to>
          <xdr:col>10</xdr:col>
          <xdr:colOff>0</xdr:colOff>
          <xdr:row>30</xdr:row>
          <xdr:rowOff>0</xdr:rowOff>
        </xdr:to>
        <xdr:sp macro="" textlink="">
          <xdr:nvSpPr>
            <xdr:cNvPr id="13338" name="Object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5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30</xdr:row>
          <xdr:rowOff>0</xdr:rowOff>
        </xdr:from>
        <xdr:to>
          <xdr:col>10</xdr:col>
          <xdr:colOff>0</xdr:colOff>
          <xdr:row>30</xdr:row>
          <xdr:rowOff>0</xdr:rowOff>
        </xdr:to>
        <xdr:sp macro="" textlink="">
          <xdr:nvSpPr>
            <xdr:cNvPr id="13339" name="Object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5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30</xdr:row>
          <xdr:rowOff>0</xdr:rowOff>
        </xdr:from>
        <xdr:to>
          <xdr:col>10</xdr:col>
          <xdr:colOff>0</xdr:colOff>
          <xdr:row>30</xdr:row>
          <xdr:rowOff>0</xdr:rowOff>
        </xdr:to>
        <xdr:sp macro="" textlink="">
          <xdr:nvSpPr>
            <xdr:cNvPr id="13340" name="Object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5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30</xdr:row>
          <xdr:rowOff>0</xdr:rowOff>
        </xdr:from>
        <xdr:to>
          <xdr:col>10</xdr:col>
          <xdr:colOff>0</xdr:colOff>
          <xdr:row>30</xdr:row>
          <xdr:rowOff>0</xdr:rowOff>
        </xdr:to>
        <xdr:sp macro="" textlink="">
          <xdr:nvSpPr>
            <xdr:cNvPr id="13341" name="Object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5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30</xdr:row>
          <xdr:rowOff>0</xdr:rowOff>
        </xdr:from>
        <xdr:to>
          <xdr:col>10</xdr:col>
          <xdr:colOff>0</xdr:colOff>
          <xdr:row>30</xdr:row>
          <xdr:rowOff>0</xdr:rowOff>
        </xdr:to>
        <xdr:sp macro="" textlink="">
          <xdr:nvSpPr>
            <xdr:cNvPr id="13342" name="Object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5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30</xdr:row>
          <xdr:rowOff>0</xdr:rowOff>
        </xdr:from>
        <xdr:to>
          <xdr:col>10</xdr:col>
          <xdr:colOff>0</xdr:colOff>
          <xdr:row>30</xdr:row>
          <xdr:rowOff>0</xdr:rowOff>
        </xdr:to>
        <xdr:sp macro="" textlink="">
          <xdr:nvSpPr>
            <xdr:cNvPr id="13343" name="Object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5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30</xdr:row>
          <xdr:rowOff>0</xdr:rowOff>
        </xdr:from>
        <xdr:to>
          <xdr:col>10</xdr:col>
          <xdr:colOff>0</xdr:colOff>
          <xdr:row>30</xdr:row>
          <xdr:rowOff>0</xdr:rowOff>
        </xdr:to>
        <xdr:sp macro="" textlink="">
          <xdr:nvSpPr>
            <xdr:cNvPr id="13344" name="Object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5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30</xdr:row>
          <xdr:rowOff>0</xdr:rowOff>
        </xdr:from>
        <xdr:to>
          <xdr:col>10</xdr:col>
          <xdr:colOff>0</xdr:colOff>
          <xdr:row>30</xdr:row>
          <xdr:rowOff>0</xdr:rowOff>
        </xdr:to>
        <xdr:sp macro="" textlink="">
          <xdr:nvSpPr>
            <xdr:cNvPr id="13345" name="Object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5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30</xdr:row>
          <xdr:rowOff>0</xdr:rowOff>
        </xdr:from>
        <xdr:to>
          <xdr:col>10</xdr:col>
          <xdr:colOff>0</xdr:colOff>
          <xdr:row>30</xdr:row>
          <xdr:rowOff>0</xdr:rowOff>
        </xdr:to>
        <xdr:sp macro="" textlink="">
          <xdr:nvSpPr>
            <xdr:cNvPr id="13346" name="Object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5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30</xdr:row>
          <xdr:rowOff>0</xdr:rowOff>
        </xdr:from>
        <xdr:to>
          <xdr:col>10</xdr:col>
          <xdr:colOff>0</xdr:colOff>
          <xdr:row>30</xdr:row>
          <xdr:rowOff>0</xdr:rowOff>
        </xdr:to>
        <xdr:sp macro="" textlink="">
          <xdr:nvSpPr>
            <xdr:cNvPr id="13347" name="Object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5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30</xdr:row>
          <xdr:rowOff>0</xdr:rowOff>
        </xdr:from>
        <xdr:to>
          <xdr:col>10</xdr:col>
          <xdr:colOff>0</xdr:colOff>
          <xdr:row>30</xdr:row>
          <xdr:rowOff>0</xdr:rowOff>
        </xdr:to>
        <xdr:sp macro="" textlink="">
          <xdr:nvSpPr>
            <xdr:cNvPr id="13348" name="Object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5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30</xdr:row>
          <xdr:rowOff>0</xdr:rowOff>
        </xdr:from>
        <xdr:to>
          <xdr:col>10</xdr:col>
          <xdr:colOff>0</xdr:colOff>
          <xdr:row>30</xdr:row>
          <xdr:rowOff>0</xdr:rowOff>
        </xdr:to>
        <xdr:sp macro="" textlink="">
          <xdr:nvSpPr>
            <xdr:cNvPr id="13349" name="Object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5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30</xdr:row>
          <xdr:rowOff>0</xdr:rowOff>
        </xdr:from>
        <xdr:to>
          <xdr:col>10</xdr:col>
          <xdr:colOff>0</xdr:colOff>
          <xdr:row>30</xdr:row>
          <xdr:rowOff>0</xdr:rowOff>
        </xdr:to>
        <xdr:sp macro="" textlink="">
          <xdr:nvSpPr>
            <xdr:cNvPr id="13350" name="Object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5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30</xdr:row>
          <xdr:rowOff>0</xdr:rowOff>
        </xdr:from>
        <xdr:to>
          <xdr:col>10</xdr:col>
          <xdr:colOff>0</xdr:colOff>
          <xdr:row>30</xdr:row>
          <xdr:rowOff>0</xdr:rowOff>
        </xdr:to>
        <xdr:sp macro="" textlink="">
          <xdr:nvSpPr>
            <xdr:cNvPr id="13351" name="Object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5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30</xdr:row>
          <xdr:rowOff>0</xdr:rowOff>
        </xdr:from>
        <xdr:to>
          <xdr:col>10</xdr:col>
          <xdr:colOff>0</xdr:colOff>
          <xdr:row>30</xdr:row>
          <xdr:rowOff>0</xdr:rowOff>
        </xdr:to>
        <xdr:sp macro="" textlink="">
          <xdr:nvSpPr>
            <xdr:cNvPr id="13352" name="Object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5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30</xdr:row>
          <xdr:rowOff>0</xdr:rowOff>
        </xdr:from>
        <xdr:to>
          <xdr:col>10</xdr:col>
          <xdr:colOff>0</xdr:colOff>
          <xdr:row>30</xdr:row>
          <xdr:rowOff>0</xdr:rowOff>
        </xdr:to>
        <xdr:sp macro="" textlink="">
          <xdr:nvSpPr>
            <xdr:cNvPr id="13353" name="Object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5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38100</xdr:colOff>
          <xdr:row>30</xdr:row>
          <xdr:rowOff>0</xdr:rowOff>
        </xdr:from>
        <xdr:to>
          <xdr:col>10</xdr:col>
          <xdr:colOff>0</xdr:colOff>
          <xdr:row>30</xdr:row>
          <xdr:rowOff>0</xdr:rowOff>
        </xdr:to>
        <xdr:sp macro="" textlink="">
          <xdr:nvSpPr>
            <xdr:cNvPr id="13354" name="Object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5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12700</xdr:colOff>
          <xdr:row>99</xdr:row>
          <xdr:rowOff>0</xdr:rowOff>
        </xdr:from>
        <xdr:to>
          <xdr:col>12</xdr:col>
          <xdr:colOff>355600</xdr:colOff>
          <xdr:row>99</xdr:row>
          <xdr:rowOff>0</xdr:rowOff>
        </xdr:to>
        <xdr:sp macro="" textlink="">
          <xdr:nvSpPr>
            <xdr:cNvPr id="14348" name="Object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6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25</xdr:row>
          <xdr:rowOff>0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4359" name="Object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6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25</xdr:row>
          <xdr:rowOff>0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4360" name="Object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6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25</xdr:row>
          <xdr:rowOff>0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4361" name="Object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6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25</xdr:row>
          <xdr:rowOff>0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4362" name="Object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00000000-0008-0000-06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25</xdr:row>
          <xdr:rowOff>0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4363" name="Object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00000000-0008-0000-06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25</xdr:row>
          <xdr:rowOff>0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4364" name="Object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00000000-0008-0000-06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25</xdr:row>
          <xdr:rowOff>0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4365" name="Object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0000000-0008-0000-06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25</xdr:row>
          <xdr:rowOff>0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4366" name="Object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6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25</xdr:row>
          <xdr:rowOff>0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4367" name="Object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00000000-0008-0000-06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25</xdr:row>
          <xdr:rowOff>0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4368" name="Object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00000000-0008-0000-06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25</xdr:row>
          <xdr:rowOff>0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4369" name="Object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00000000-0008-0000-06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25</xdr:row>
          <xdr:rowOff>0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4370" name="Object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id="{00000000-0008-0000-06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25</xdr:row>
          <xdr:rowOff>0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4371" name="Object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6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25</xdr:row>
          <xdr:rowOff>0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4372" name="Object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6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25</xdr:row>
          <xdr:rowOff>0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4373" name="Object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6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25</xdr:row>
          <xdr:rowOff>0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4374" name="Object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id="{00000000-0008-0000-06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25</xdr:row>
          <xdr:rowOff>0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4375" name="Object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id="{00000000-0008-0000-06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25</xdr:row>
          <xdr:rowOff>0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4376" name="Object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id="{00000000-0008-0000-0600-00002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25</xdr:row>
          <xdr:rowOff>0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4377" name="Object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id="{00000000-0008-0000-0600-00002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25</xdr:row>
          <xdr:rowOff>0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4378" name="Object 42" hidden="1">
              <a:extLst>
                <a:ext uri="{63B3BB69-23CF-44E3-9099-C40C66FF867C}">
                  <a14:compatExt spid="_x0000_s14378"/>
                </a:ext>
                <a:ext uri="{FF2B5EF4-FFF2-40B4-BE49-F238E27FC236}">
                  <a16:creationId xmlns:a16="http://schemas.microsoft.com/office/drawing/2014/main" id="{00000000-0008-0000-0600-00002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masuk%20ke%20traxel/DEFIB%203.10.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 Stopwatch (2)"/>
      <sheetName val="DB Thermohygro"/>
      <sheetName val="DB Listrik"/>
      <sheetName val="SERTIFIKAT"/>
      <sheetName val="Riwayat Revisi"/>
      <sheetName val="LK"/>
      <sheetName val="Input"/>
      <sheetName val="Budget"/>
      <sheetName val="kata-kata"/>
      <sheetName val="Penyelia"/>
      <sheetName val="Input Data Sertifikat Defib"/>
      <sheetName val=" LHK "/>
      <sheetName val="Input Data Sertifikat Stopwatch"/>
    </sheetNames>
    <sheetDataSet>
      <sheetData sheetId="0"/>
      <sheetData sheetId="1"/>
      <sheetData sheetId="2"/>
      <sheetData sheetId="3"/>
      <sheetData sheetId="4"/>
      <sheetData sheetId="5">
        <row r="11">
          <cell r="E11" t="str">
            <v>MK.087-19</v>
          </cell>
        </row>
      </sheetData>
      <sheetData sheetId="6">
        <row r="4">
          <cell r="F4" t="str">
            <v>Philips</v>
          </cell>
        </row>
        <row r="5">
          <cell r="F5" t="str">
            <v>xxx</v>
          </cell>
        </row>
        <row r="6">
          <cell r="F6">
            <v>123456</v>
          </cell>
        </row>
        <row r="7">
          <cell r="F7">
            <v>21</v>
          </cell>
        </row>
        <row r="8">
          <cell r="F8" t="str">
            <v>x1</v>
          </cell>
        </row>
        <row r="9">
          <cell r="F9" t="str">
            <v>x2</v>
          </cell>
        </row>
        <row r="10">
          <cell r="F10" t="str">
            <v>x3</v>
          </cell>
        </row>
      </sheetData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oleObject" Target="../embeddings/oleObject9.bin"/><Relationship Id="rId18" Type="http://schemas.openxmlformats.org/officeDocument/2006/relationships/oleObject" Target="../embeddings/oleObject14.bin"/><Relationship Id="rId26" Type="http://schemas.openxmlformats.org/officeDocument/2006/relationships/oleObject" Target="../embeddings/oleObject22.bin"/><Relationship Id="rId39" Type="http://schemas.openxmlformats.org/officeDocument/2006/relationships/oleObject" Target="../embeddings/oleObject35.bin"/><Relationship Id="rId21" Type="http://schemas.openxmlformats.org/officeDocument/2006/relationships/oleObject" Target="../embeddings/oleObject17.bin"/><Relationship Id="rId34" Type="http://schemas.openxmlformats.org/officeDocument/2006/relationships/oleObject" Target="../embeddings/oleObject30.bin"/><Relationship Id="rId42" Type="http://schemas.openxmlformats.org/officeDocument/2006/relationships/oleObject" Target="../embeddings/oleObject38.bin"/><Relationship Id="rId7" Type="http://schemas.openxmlformats.org/officeDocument/2006/relationships/oleObject" Target="../embeddings/oleObject3.bin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12.bin"/><Relationship Id="rId29" Type="http://schemas.openxmlformats.org/officeDocument/2006/relationships/oleObject" Target="../embeddings/oleObject25.bin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2.bin"/><Relationship Id="rId11" Type="http://schemas.openxmlformats.org/officeDocument/2006/relationships/oleObject" Target="../embeddings/oleObject7.bin"/><Relationship Id="rId24" Type="http://schemas.openxmlformats.org/officeDocument/2006/relationships/oleObject" Target="../embeddings/oleObject20.bin"/><Relationship Id="rId32" Type="http://schemas.openxmlformats.org/officeDocument/2006/relationships/oleObject" Target="../embeddings/oleObject28.bin"/><Relationship Id="rId37" Type="http://schemas.openxmlformats.org/officeDocument/2006/relationships/oleObject" Target="../embeddings/oleObject33.bin"/><Relationship Id="rId40" Type="http://schemas.openxmlformats.org/officeDocument/2006/relationships/oleObject" Target="../embeddings/oleObject36.bin"/><Relationship Id="rId45" Type="http://schemas.openxmlformats.org/officeDocument/2006/relationships/oleObject" Target="../embeddings/oleObject41.bin"/><Relationship Id="rId5" Type="http://schemas.openxmlformats.org/officeDocument/2006/relationships/image" Target="../media/image1.emf"/><Relationship Id="rId15" Type="http://schemas.openxmlformats.org/officeDocument/2006/relationships/oleObject" Target="../embeddings/oleObject11.bin"/><Relationship Id="rId23" Type="http://schemas.openxmlformats.org/officeDocument/2006/relationships/oleObject" Target="../embeddings/oleObject19.bin"/><Relationship Id="rId28" Type="http://schemas.openxmlformats.org/officeDocument/2006/relationships/oleObject" Target="../embeddings/oleObject24.bin"/><Relationship Id="rId36" Type="http://schemas.openxmlformats.org/officeDocument/2006/relationships/oleObject" Target="../embeddings/oleObject32.bin"/><Relationship Id="rId10" Type="http://schemas.openxmlformats.org/officeDocument/2006/relationships/oleObject" Target="../embeddings/oleObject6.bin"/><Relationship Id="rId19" Type="http://schemas.openxmlformats.org/officeDocument/2006/relationships/oleObject" Target="../embeddings/oleObject15.bin"/><Relationship Id="rId31" Type="http://schemas.openxmlformats.org/officeDocument/2006/relationships/oleObject" Target="../embeddings/oleObject27.bin"/><Relationship Id="rId44" Type="http://schemas.openxmlformats.org/officeDocument/2006/relationships/oleObject" Target="../embeddings/oleObject40.bin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5.bin"/><Relationship Id="rId14" Type="http://schemas.openxmlformats.org/officeDocument/2006/relationships/oleObject" Target="../embeddings/oleObject10.bin"/><Relationship Id="rId22" Type="http://schemas.openxmlformats.org/officeDocument/2006/relationships/oleObject" Target="../embeddings/oleObject18.bin"/><Relationship Id="rId27" Type="http://schemas.openxmlformats.org/officeDocument/2006/relationships/oleObject" Target="../embeddings/oleObject23.bin"/><Relationship Id="rId30" Type="http://schemas.openxmlformats.org/officeDocument/2006/relationships/oleObject" Target="../embeddings/oleObject26.bin"/><Relationship Id="rId35" Type="http://schemas.openxmlformats.org/officeDocument/2006/relationships/oleObject" Target="../embeddings/oleObject31.bin"/><Relationship Id="rId43" Type="http://schemas.openxmlformats.org/officeDocument/2006/relationships/oleObject" Target="../embeddings/oleObject39.bin"/><Relationship Id="rId8" Type="http://schemas.openxmlformats.org/officeDocument/2006/relationships/oleObject" Target="../embeddings/oleObject4.bin"/><Relationship Id="rId3" Type="http://schemas.openxmlformats.org/officeDocument/2006/relationships/vmlDrawing" Target="../drawings/vmlDrawing2.vml"/><Relationship Id="rId12" Type="http://schemas.openxmlformats.org/officeDocument/2006/relationships/oleObject" Target="../embeddings/oleObject8.bin"/><Relationship Id="rId17" Type="http://schemas.openxmlformats.org/officeDocument/2006/relationships/oleObject" Target="../embeddings/oleObject13.bin"/><Relationship Id="rId25" Type="http://schemas.openxmlformats.org/officeDocument/2006/relationships/oleObject" Target="../embeddings/oleObject21.bin"/><Relationship Id="rId33" Type="http://schemas.openxmlformats.org/officeDocument/2006/relationships/oleObject" Target="../embeddings/oleObject29.bin"/><Relationship Id="rId38" Type="http://schemas.openxmlformats.org/officeDocument/2006/relationships/oleObject" Target="../embeddings/oleObject34.bin"/><Relationship Id="rId46" Type="http://schemas.openxmlformats.org/officeDocument/2006/relationships/oleObject" Target="../embeddings/oleObject42.bin"/><Relationship Id="rId20" Type="http://schemas.openxmlformats.org/officeDocument/2006/relationships/oleObject" Target="../embeddings/oleObject16.bin"/><Relationship Id="rId41" Type="http://schemas.openxmlformats.org/officeDocument/2006/relationships/oleObject" Target="../embeddings/oleObject37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oleObject" Target="../embeddings/oleObject51.bin"/><Relationship Id="rId18" Type="http://schemas.openxmlformats.org/officeDocument/2006/relationships/oleObject" Target="../embeddings/oleObject56.bin"/><Relationship Id="rId26" Type="http://schemas.openxmlformats.org/officeDocument/2006/relationships/oleObject" Target="../embeddings/oleObject64.bin"/><Relationship Id="rId39" Type="http://schemas.openxmlformats.org/officeDocument/2006/relationships/oleObject" Target="../embeddings/oleObject77.bin"/><Relationship Id="rId21" Type="http://schemas.openxmlformats.org/officeDocument/2006/relationships/oleObject" Target="../embeddings/oleObject59.bin"/><Relationship Id="rId34" Type="http://schemas.openxmlformats.org/officeDocument/2006/relationships/oleObject" Target="../embeddings/oleObject72.bin"/><Relationship Id="rId42" Type="http://schemas.openxmlformats.org/officeDocument/2006/relationships/oleObject" Target="../embeddings/oleObject80.bin"/><Relationship Id="rId7" Type="http://schemas.openxmlformats.org/officeDocument/2006/relationships/oleObject" Target="../embeddings/oleObject45.bin"/><Relationship Id="rId2" Type="http://schemas.openxmlformats.org/officeDocument/2006/relationships/drawing" Target="../drawings/drawing2.xml"/><Relationship Id="rId16" Type="http://schemas.openxmlformats.org/officeDocument/2006/relationships/oleObject" Target="../embeddings/oleObject54.bin"/><Relationship Id="rId29" Type="http://schemas.openxmlformats.org/officeDocument/2006/relationships/oleObject" Target="../embeddings/oleObject67.bin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44.bin"/><Relationship Id="rId11" Type="http://schemas.openxmlformats.org/officeDocument/2006/relationships/oleObject" Target="../embeddings/oleObject49.bin"/><Relationship Id="rId24" Type="http://schemas.openxmlformats.org/officeDocument/2006/relationships/oleObject" Target="../embeddings/oleObject62.bin"/><Relationship Id="rId32" Type="http://schemas.openxmlformats.org/officeDocument/2006/relationships/oleObject" Target="../embeddings/oleObject70.bin"/><Relationship Id="rId37" Type="http://schemas.openxmlformats.org/officeDocument/2006/relationships/oleObject" Target="../embeddings/oleObject75.bin"/><Relationship Id="rId40" Type="http://schemas.openxmlformats.org/officeDocument/2006/relationships/oleObject" Target="../embeddings/oleObject78.bin"/><Relationship Id="rId45" Type="http://schemas.openxmlformats.org/officeDocument/2006/relationships/oleObject" Target="../embeddings/oleObject83.bin"/><Relationship Id="rId5" Type="http://schemas.openxmlformats.org/officeDocument/2006/relationships/image" Target="../media/image1.emf"/><Relationship Id="rId15" Type="http://schemas.openxmlformats.org/officeDocument/2006/relationships/oleObject" Target="../embeddings/oleObject53.bin"/><Relationship Id="rId23" Type="http://schemas.openxmlformats.org/officeDocument/2006/relationships/oleObject" Target="../embeddings/oleObject61.bin"/><Relationship Id="rId28" Type="http://schemas.openxmlformats.org/officeDocument/2006/relationships/oleObject" Target="../embeddings/oleObject66.bin"/><Relationship Id="rId36" Type="http://schemas.openxmlformats.org/officeDocument/2006/relationships/oleObject" Target="../embeddings/oleObject74.bin"/><Relationship Id="rId10" Type="http://schemas.openxmlformats.org/officeDocument/2006/relationships/oleObject" Target="../embeddings/oleObject48.bin"/><Relationship Id="rId19" Type="http://schemas.openxmlformats.org/officeDocument/2006/relationships/oleObject" Target="../embeddings/oleObject57.bin"/><Relationship Id="rId31" Type="http://schemas.openxmlformats.org/officeDocument/2006/relationships/oleObject" Target="../embeddings/oleObject69.bin"/><Relationship Id="rId44" Type="http://schemas.openxmlformats.org/officeDocument/2006/relationships/oleObject" Target="../embeddings/oleObject82.bin"/><Relationship Id="rId4" Type="http://schemas.openxmlformats.org/officeDocument/2006/relationships/oleObject" Target="../embeddings/oleObject43.bin"/><Relationship Id="rId9" Type="http://schemas.openxmlformats.org/officeDocument/2006/relationships/oleObject" Target="../embeddings/oleObject47.bin"/><Relationship Id="rId14" Type="http://schemas.openxmlformats.org/officeDocument/2006/relationships/oleObject" Target="../embeddings/oleObject52.bin"/><Relationship Id="rId22" Type="http://schemas.openxmlformats.org/officeDocument/2006/relationships/oleObject" Target="../embeddings/oleObject60.bin"/><Relationship Id="rId27" Type="http://schemas.openxmlformats.org/officeDocument/2006/relationships/oleObject" Target="../embeddings/oleObject65.bin"/><Relationship Id="rId30" Type="http://schemas.openxmlformats.org/officeDocument/2006/relationships/oleObject" Target="../embeddings/oleObject68.bin"/><Relationship Id="rId35" Type="http://schemas.openxmlformats.org/officeDocument/2006/relationships/oleObject" Target="../embeddings/oleObject73.bin"/><Relationship Id="rId43" Type="http://schemas.openxmlformats.org/officeDocument/2006/relationships/oleObject" Target="../embeddings/oleObject81.bin"/><Relationship Id="rId8" Type="http://schemas.openxmlformats.org/officeDocument/2006/relationships/oleObject" Target="../embeddings/oleObject46.bin"/><Relationship Id="rId3" Type="http://schemas.openxmlformats.org/officeDocument/2006/relationships/vmlDrawing" Target="../drawings/vmlDrawing3.vml"/><Relationship Id="rId12" Type="http://schemas.openxmlformats.org/officeDocument/2006/relationships/oleObject" Target="../embeddings/oleObject50.bin"/><Relationship Id="rId17" Type="http://schemas.openxmlformats.org/officeDocument/2006/relationships/oleObject" Target="../embeddings/oleObject55.bin"/><Relationship Id="rId25" Type="http://schemas.openxmlformats.org/officeDocument/2006/relationships/oleObject" Target="../embeddings/oleObject63.bin"/><Relationship Id="rId33" Type="http://schemas.openxmlformats.org/officeDocument/2006/relationships/oleObject" Target="../embeddings/oleObject71.bin"/><Relationship Id="rId38" Type="http://schemas.openxmlformats.org/officeDocument/2006/relationships/oleObject" Target="../embeddings/oleObject76.bin"/><Relationship Id="rId46" Type="http://schemas.openxmlformats.org/officeDocument/2006/relationships/comments" Target="../comments2.xml"/><Relationship Id="rId20" Type="http://schemas.openxmlformats.org/officeDocument/2006/relationships/oleObject" Target="../embeddings/oleObject58.bin"/><Relationship Id="rId41" Type="http://schemas.openxmlformats.org/officeDocument/2006/relationships/oleObject" Target="../embeddings/oleObject7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oleObject" Target="../embeddings/oleObject92.bin"/><Relationship Id="rId18" Type="http://schemas.openxmlformats.org/officeDocument/2006/relationships/oleObject" Target="../embeddings/oleObject97.bin"/><Relationship Id="rId26" Type="http://schemas.openxmlformats.org/officeDocument/2006/relationships/oleObject" Target="../embeddings/oleObject105.bin"/><Relationship Id="rId39" Type="http://schemas.openxmlformats.org/officeDocument/2006/relationships/oleObject" Target="../embeddings/oleObject118.bin"/><Relationship Id="rId21" Type="http://schemas.openxmlformats.org/officeDocument/2006/relationships/oleObject" Target="../embeddings/oleObject100.bin"/><Relationship Id="rId34" Type="http://schemas.openxmlformats.org/officeDocument/2006/relationships/oleObject" Target="../embeddings/oleObject113.bin"/><Relationship Id="rId42" Type="http://schemas.openxmlformats.org/officeDocument/2006/relationships/oleObject" Target="../embeddings/oleObject121.bin"/><Relationship Id="rId7" Type="http://schemas.openxmlformats.org/officeDocument/2006/relationships/oleObject" Target="../embeddings/oleObject86.bin"/><Relationship Id="rId2" Type="http://schemas.openxmlformats.org/officeDocument/2006/relationships/drawing" Target="../drawings/drawing3.xml"/><Relationship Id="rId16" Type="http://schemas.openxmlformats.org/officeDocument/2006/relationships/oleObject" Target="../embeddings/oleObject95.bin"/><Relationship Id="rId29" Type="http://schemas.openxmlformats.org/officeDocument/2006/relationships/oleObject" Target="../embeddings/oleObject108.bin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85.bin"/><Relationship Id="rId11" Type="http://schemas.openxmlformats.org/officeDocument/2006/relationships/oleObject" Target="../embeddings/oleObject90.bin"/><Relationship Id="rId24" Type="http://schemas.openxmlformats.org/officeDocument/2006/relationships/oleObject" Target="../embeddings/oleObject103.bin"/><Relationship Id="rId32" Type="http://schemas.openxmlformats.org/officeDocument/2006/relationships/oleObject" Target="../embeddings/oleObject111.bin"/><Relationship Id="rId37" Type="http://schemas.openxmlformats.org/officeDocument/2006/relationships/oleObject" Target="../embeddings/oleObject116.bin"/><Relationship Id="rId40" Type="http://schemas.openxmlformats.org/officeDocument/2006/relationships/oleObject" Target="../embeddings/oleObject119.bin"/><Relationship Id="rId45" Type="http://schemas.openxmlformats.org/officeDocument/2006/relationships/oleObject" Target="../embeddings/oleObject124.bin"/><Relationship Id="rId5" Type="http://schemas.openxmlformats.org/officeDocument/2006/relationships/image" Target="../media/image1.emf"/><Relationship Id="rId15" Type="http://schemas.openxmlformats.org/officeDocument/2006/relationships/oleObject" Target="../embeddings/oleObject94.bin"/><Relationship Id="rId23" Type="http://schemas.openxmlformats.org/officeDocument/2006/relationships/oleObject" Target="../embeddings/oleObject102.bin"/><Relationship Id="rId28" Type="http://schemas.openxmlformats.org/officeDocument/2006/relationships/oleObject" Target="../embeddings/oleObject107.bin"/><Relationship Id="rId36" Type="http://schemas.openxmlformats.org/officeDocument/2006/relationships/oleObject" Target="../embeddings/oleObject115.bin"/><Relationship Id="rId10" Type="http://schemas.openxmlformats.org/officeDocument/2006/relationships/oleObject" Target="../embeddings/oleObject89.bin"/><Relationship Id="rId19" Type="http://schemas.openxmlformats.org/officeDocument/2006/relationships/oleObject" Target="../embeddings/oleObject98.bin"/><Relationship Id="rId31" Type="http://schemas.openxmlformats.org/officeDocument/2006/relationships/oleObject" Target="../embeddings/oleObject110.bin"/><Relationship Id="rId44" Type="http://schemas.openxmlformats.org/officeDocument/2006/relationships/oleObject" Target="../embeddings/oleObject123.bin"/><Relationship Id="rId4" Type="http://schemas.openxmlformats.org/officeDocument/2006/relationships/oleObject" Target="../embeddings/oleObject84.bin"/><Relationship Id="rId9" Type="http://schemas.openxmlformats.org/officeDocument/2006/relationships/oleObject" Target="../embeddings/oleObject88.bin"/><Relationship Id="rId14" Type="http://schemas.openxmlformats.org/officeDocument/2006/relationships/oleObject" Target="../embeddings/oleObject93.bin"/><Relationship Id="rId22" Type="http://schemas.openxmlformats.org/officeDocument/2006/relationships/oleObject" Target="../embeddings/oleObject101.bin"/><Relationship Id="rId27" Type="http://schemas.openxmlformats.org/officeDocument/2006/relationships/oleObject" Target="../embeddings/oleObject106.bin"/><Relationship Id="rId30" Type="http://schemas.openxmlformats.org/officeDocument/2006/relationships/oleObject" Target="../embeddings/oleObject109.bin"/><Relationship Id="rId35" Type="http://schemas.openxmlformats.org/officeDocument/2006/relationships/oleObject" Target="../embeddings/oleObject114.bin"/><Relationship Id="rId43" Type="http://schemas.openxmlformats.org/officeDocument/2006/relationships/oleObject" Target="../embeddings/oleObject122.bin"/><Relationship Id="rId8" Type="http://schemas.openxmlformats.org/officeDocument/2006/relationships/oleObject" Target="../embeddings/oleObject87.bin"/><Relationship Id="rId3" Type="http://schemas.openxmlformats.org/officeDocument/2006/relationships/vmlDrawing" Target="../drawings/vmlDrawing4.vml"/><Relationship Id="rId12" Type="http://schemas.openxmlformats.org/officeDocument/2006/relationships/oleObject" Target="../embeddings/oleObject91.bin"/><Relationship Id="rId17" Type="http://schemas.openxmlformats.org/officeDocument/2006/relationships/oleObject" Target="../embeddings/oleObject96.bin"/><Relationship Id="rId25" Type="http://schemas.openxmlformats.org/officeDocument/2006/relationships/oleObject" Target="../embeddings/oleObject104.bin"/><Relationship Id="rId33" Type="http://schemas.openxmlformats.org/officeDocument/2006/relationships/oleObject" Target="../embeddings/oleObject112.bin"/><Relationship Id="rId38" Type="http://schemas.openxmlformats.org/officeDocument/2006/relationships/oleObject" Target="../embeddings/oleObject117.bin"/><Relationship Id="rId46" Type="http://schemas.openxmlformats.org/officeDocument/2006/relationships/oleObject" Target="../embeddings/oleObject125.bin"/><Relationship Id="rId20" Type="http://schemas.openxmlformats.org/officeDocument/2006/relationships/oleObject" Target="../embeddings/oleObject99.bin"/><Relationship Id="rId41" Type="http://schemas.openxmlformats.org/officeDocument/2006/relationships/oleObject" Target="../embeddings/oleObject120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28.bin"/><Relationship Id="rId13" Type="http://schemas.openxmlformats.org/officeDocument/2006/relationships/oleObject" Target="../embeddings/oleObject133.bin"/><Relationship Id="rId18" Type="http://schemas.openxmlformats.org/officeDocument/2006/relationships/oleObject" Target="../embeddings/oleObject138.bin"/><Relationship Id="rId26" Type="http://schemas.openxmlformats.org/officeDocument/2006/relationships/oleObject" Target="../embeddings/oleObject146.bin"/><Relationship Id="rId3" Type="http://schemas.openxmlformats.org/officeDocument/2006/relationships/vmlDrawing" Target="../drawings/vmlDrawing5.vml"/><Relationship Id="rId21" Type="http://schemas.openxmlformats.org/officeDocument/2006/relationships/oleObject" Target="../embeddings/oleObject141.bin"/><Relationship Id="rId7" Type="http://schemas.openxmlformats.org/officeDocument/2006/relationships/image" Target="../media/image1.emf"/><Relationship Id="rId12" Type="http://schemas.openxmlformats.org/officeDocument/2006/relationships/oleObject" Target="../embeddings/oleObject132.bin"/><Relationship Id="rId17" Type="http://schemas.openxmlformats.org/officeDocument/2006/relationships/oleObject" Target="../embeddings/oleObject137.bin"/><Relationship Id="rId25" Type="http://schemas.openxmlformats.org/officeDocument/2006/relationships/oleObject" Target="../embeddings/oleObject145.bin"/><Relationship Id="rId2" Type="http://schemas.openxmlformats.org/officeDocument/2006/relationships/drawing" Target="../drawings/drawing4.xml"/><Relationship Id="rId16" Type="http://schemas.openxmlformats.org/officeDocument/2006/relationships/oleObject" Target="../embeddings/oleObject136.bin"/><Relationship Id="rId20" Type="http://schemas.openxmlformats.org/officeDocument/2006/relationships/oleObject" Target="../embeddings/oleObject140.bin"/><Relationship Id="rId1" Type="http://schemas.openxmlformats.org/officeDocument/2006/relationships/printerSettings" Target="../printerSettings/printerSettings7.bin"/><Relationship Id="rId6" Type="http://schemas.openxmlformats.org/officeDocument/2006/relationships/oleObject" Target="../embeddings/oleObject127.bin"/><Relationship Id="rId11" Type="http://schemas.openxmlformats.org/officeDocument/2006/relationships/oleObject" Target="../embeddings/oleObject131.bin"/><Relationship Id="rId24" Type="http://schemas.openxmlformats.org/officeDocument/2006/relationships/oleObject" Target="../embeddings/oleObject144.bin"/><Relationship Id="rId5" Type="http://schemas.openxmlformats.org/officeDocument/2006/relationships/image" Target="../media/image2.emf"/><Relationship Id="rId15" Type="http://schemas.openxmlformats.org/officeDocument/2006/relationships/oleObject" Target="../embeddings/oleObject135.bin"/><Relationship Id="rId23" Type="http://schemas.openxmlformats.org/officeDocument/2006/relationships/oleObject" Target="../embeddings/oleObject143.bin"/><Relationship Id="rId10" Type="http://schemas.openxmlformats.org/officeDocument/2006/relationships/oleObject" Target="../embeddings/oleObject130.bin"/><Relationship Id="rId19" Type="http://schemas.openxmlformats.org/officeDocument/2006/relationships/oleObject" Target="../embeddings/oleObject139.bin"/><Relationship Id="rId4" Type="http://schemas.openxmlformats.org/officeDocument/2006/relationships/oleObject" Target="../embeddings/oleObject126.bin"/><Relationship Id="rId9" Type="http://schemas.openxmlformats.org/officeDocument/2006/relationships/oleObject" Target="../embeddings/oleObject129.bin"/><Relationship Id="rId14" Type="http://schemas.openxmlformats.org/officeDocument/2006/relationships/oleObject" Target="../embeddings/oleObject134.bin"/><Relationship Id="rId22" Type="http://schemas.openxmlformats.org/officeDocument/2006/relationships/oleObject" Target="../embeddings/oleObject14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6A748-C263-4D2F-978C-1E6123F4D563}">
  <sheetPr>
    <tabColor rgb="FF00B050"/>
  </sheetPr>
  <dimension ref="A1:O61"/>
  <sheetViews>
    <sheetView zoomScale="88" zoomScaleNormal="88" zoomScaleSheetLayoutView="90" workbookViewId="0">
      <selection activeCell="H2" sqref="H2"/>
    </sheetView>
  </sheetViews>
  <sheetFormatPr defaultColWidth="9.26953125" defaultRowHeight="12.5" x14ac:dyDescent="0.25"/>
  <cols>
    <col min="1" max="1" width="18.26953125" style="763" customWidth="1"/>
    <col min="2" max="2" width="26.26953125" style="763" customWidth="1"/>
    <col min="3" max="3" width="3.26953125" style="763" customWidth="1"/>
    <col min="4" max="4" width="11.54296875" style="763" customWidth="1"/>
    <col min="5" max="5" width="9.453125" style="763" customWidth="1"/>
    <col min="6" max="6" width="22.54296875" style="763" customWidth="1"/>
    <col min="7" max="7" width="9.26953125" style="763"/>
    <col min="8" max="8" width="18.7265625" style="763" customWidth="1"/>
    <col min="9" max="9" width="12.26953125" style="763" customWidth="1"/>
    <col min="10" max="16384" width="9.26953125" style="763"/>
  </cols>
  <sheetData>
    <row r="1" spans="1:15" ht="18.5" x14ac:dyDescent="0.45">
      <c r="H1" s="764" t="str">
        <f>IF(PENYELIA!J59&lt;70,"TIDAK LAIK","LAIK")</f>
        <v>LAIK</v>
      </c>
      <c r="I1" s="765"/>
      <c r="J1" s="765"/>
    </row>
    <row r="2" spans="1:15" ht="30" x14ac:dyDescent="0.25">
      <c r="A2" s="827" t="s">
        <v>387</v>
      </c>
      <c r="B2" s="827"/>
      <c r="C2" s="827"/>
      <c r="D2" s="827"/>
      <c r="E2" s="827"/>
      <c r="F2" s="827"/>
      <c r="H2" s="766"/>
      <c r="I2" s="828"/>
      <c r="J2" s="829"/>
    </row>
    <row r="3" spans="1:15" ht="14" x14ac:dyDescent="0.3">
      <c r="A3" s="830" t="str">
        <f>"Nomor : 18 /"&amp;" "&amp;ID!I2</f>
        <v>Nomor : 18 / 19 / III - 25 / E - 009.678 DL</v>
      </c>
      <c r="B3" s="830"/>
      <c r="C3" s="830"/>
      <c r="D3" s="830"/>
      <c r="E3" s="830"/>
      <c r="F3" s="830"/>
    </row>
    <row r="4" spans="1:15" ht="13" x14ac:dyDescent="0.3">
      <c r="C4" s="763" t="s">
        <v>388</v>
      </c>
      <c r="D4" s="831" t="str">
        <f>ID!E11</f>
        <v>KL.MK 13</v>
      </c>
      <c r="E4" s="831"/>
      <c r="F4" s="831"/>
      <c r="H4" s="767"/>
      <c r="I4" s="767"/>
      <c r="J4" s="767"/>
    </row>
    <row r="5" spans="1:15" ht="14.5" x14ac:dyDescent="0.35">
      <c r="H5" s="832"/>
      <c r="I5" s="832"/>
      <c r="J5" s="832"/>
    </row>
    <row r="6" spans="1:15" ht="14" x14ac:dyDescent="0.25">
      <c r="A6" s="768" t="s">
        <v>389</v>
      </c>
      <c r="B6" s="769" t="s">
        <v>390</v>
      </c>
      <c r="C6" s="770"/>
      <c r="D6" s="825" t="s">
        <v>391</v>
      </c>
      <c r="E6" s="826"/>
      <c r="F6" s="771" t="str">
        <f>MID(A3,SEARCH("E - ",A3),LEN(A3))</f>
        <v>E - 009.678 DL</v>
      </c>
    </row>
    <row r="7" spans="1:15" ht="14" x14ac:dyDescent="0.25">
      <c r="A7" s="772"/>
      <c r="B7" s="772"/>
      <c r="C7" s="772"/>
    </row>
    <row r="8" spans="1:15" ht="14" x14ac:dyDescent="0.25">
      <c r="A8" s="834" t="s">
        <v>6</v>
      </c>
      <c r="B8" s="834"/>
      <c r="C8" s="773" t="s">
        <v>7</v>
      </c>
      <c r="D8" s="835" t="str">
        <f>[1]Input!F4</f>
        <v>Philips</v>
      </c>
      <c r="E8" s="834"/>
      <c r="F8" s="834"/>
      <c r="I8" s="836"/>
      <c r="J8" s="836"/>
    </row>
    <row r="9" spans="1:15" ht="14.25" customHeight="1" x14ac:dyDescent="0.25">
      <c r="A9" s="834" t="s">
        <v>392</v>
      </c>
      <c r="B9" s="834"/>
      <c r="C9" s="773" t="s">
        <v>7</v>
      </c>
      <c r="D9" s="835" t="str">
        <f>[1]Input!F5</f>
        <v>xxx</v>
      </c>
      <c r="E9" s="834"/>
      <c r="F9" s="834"/>
      <c r="I9" s="836"/>
      <c r="J9" s="836"/>
    </row>
    <row r="10" spans="1:15" ht="15" customHeight="1" x14ac:dyDescent="0.35">
      <c r="A10" s="834" t="s">
        <v>9</v>
      </c>
      <c r="B10" s="834"/>
      <c r="C10" s="773" t="s">
        <v>7</v>
      </c>
      <c r="D10" s="835">
        <f>[1]Input!F6</f>
        <v>123456</v>
      </c>
      <c r="E10" s="834"/>
      <c r="F10" s="834"/>
      <c r="I10" s="837"/>
      <c r="J10" s="838"/>
      <c r="O10" s="774"/>
    </row>
    <row r="11" spans="1:15" s="765" customFormat="1" ht="14.5" hidden="1" x14ac:dyDescent="0.35">
      <c r="A11" s="839" t="s">
        <v>393</v>
      </c>
      <c r="B11" s="839"/>
      <c r="C11" s="775" t="s">
        <v>7</v>
      </c>
      <c r="D11" s="776" t="str">
        <f>I11&amp;"    "&amp;J11&amp;""</f>
        <v xml:space="preserve">    </v>
      </c>
      <c r="E11" s="776"/>
      <c r="F11" s="777">
        <f>J11</f>
        <v>0</v>
      </c>
      <c r="I11" s="778"/>
      <c r="J11" s="779"/>
      <c r="O11" s="779"/>
    </row>
    <row r="12" spans="1:15" s="765" customFormat="1" ht="14.5" hidden="1" x14ac:dyDescent="0.35">
      <c r="A12" s="839" t="s">
        <v>10</v>
      </c>
      <c r="B12" s="839"/>
      <c r="C12" s="775" t="s">
        <v>7</v>
      </c>
      <c r="D12" s="780"/>
      <c r="E12" s="780"/>
      <c r="F12" s="777"/>
      <c r="I12" s="781"/>
      <c r="J12" s="779"/>
      <c r="O12" s="779"/>
    </row>
    <row r="13" spans="1:15" ht="14.5" x14ac:dyDescent="0.35">
      <c r="A13" s="782"/>
      <c r="B13" s="782"/>
      <c r="C13" s="772"/>
      <c r="I13" s="833"/>
      <c r="J13" s="833"/>
      <c r="O13" s="774"/>
    </row>
    <row r="14" spans="1:15" ht="28.5" customHeight="1" x14ac:dyDescent="0.35">
      <c r="A14" s="783" t="s">
        <v>394</v>
      </c>
      <c r="B14" s="784"/>
      <c r="C14" s="772"/>
      <c r="D14" s="825" t="s">
        <v>395</v>
      </c>
      <c r="E14" s="826"/>
      <c r="F14" s="785"/>
      <c r="I14" s="838"/>
      <c r="J14" s="838"/>
      <c r="O14" s="774"/>
    </row>
    <row r="15" spans="1:15" ht="14.5" x14ac:dyDescent="0.25">
      <c r="A15" s="786"/>
      <c r="B15" s="772"/>
      <c r="C15" s="772"/>
      <c r="D15" s="772"/>
      <c r="E15" s="772"/>
      <c r="I15" s="841"/>
      <c r="J15" s="841"/>
    </row>
    <row r="16" spans="1:15" s="765" customFormat="1" ht="42.75" customHeight="1" x14ac:dyDescent="0.3">
      <c r="A16" s="842" t="s">
        <v>396</v>
      </c>
      <c r="B16" s="842"/>
      <c r="C16" s="787" t="s">
        <v>7</v>
      </c>
      <c r="D16" s="843" t="s">
        <v>397</v>
      </c>
      <c r="E16" s="843"/>
      <c r="F16" s="843"/>
      <c r="H16" s="788"/>
      <c r="I16" s="844"/>
      <c r="J16" s="845"/>
    </row>
    <row r="17" spans="1:10" ht="14.5" x14ac:dyDescent="0.35">
      <c r="A17" s="834" t="str">
        <f>"Nama Ruang "</f>
        <v xml:space="preserve">Nama Ruang </v>
      </c>
      <c r="B17" s="834"/>
      <c r="C17" s="773" t="s">
        <v>7</v>
      </c>
      <c r="D17" s="846" t="str">
        <f>[1]Input!F10</f>
        <v>x3</v>
      </c>
      <c r="E17" s="847"/>
      <c r="F17" s="847"/>
      <c r="H17" s="848"/>
      <c r="I17" s="848"/>
      <c r="J17" s="848"/>
    </row>
    <row r="18" spans="1:10" ht="14.5" x14ac:dyDescent="0.35">
      <c r="A18" s="834" t="s">
        <v>12</v>
      </c>
      <c r="B18" s="834"/>
      <c r="C18" s="773" t="s">
        <v>7</v>
      </c>
      <c r="D18" s="840">
        <f>[1]Input!F7</f>
        <v>21</v>
      </c>
      <c r="E18" s="840"/>
      <c r="F18" s="840"/>
      <c r="H18" s="789"/>
      <c r="I18" s="789"/>
      <c r="J18" s="789"/>
    </row>
    <row r="19" spans="1:10" ht="14.25" customHeight="1" x14ac:dyDescent="0.25">
      <c r="A19" s="834" t="str">
        <f>"Tanggal "&amp;B50</f>
        <v>Tanggal Pengujian</v>
      </c>
      <c r="B19" s="834"/>
      <c r="C19" s="773" t="s">
        <v>7</v>
      </c>
      <c r="D19" s="840" t="str">
        <f>[1]Input!F8</f>
        <v>x1</v>
      </c>
      <c r="E19" s="840"/>
      <c r="F19" s="840"/>
    </row>
    <row r="20" spans="1:10" ht="14" x14ac:dyDescent="0.25">
      <c r="A20" s="834" t="str">
        <f>"Penanggungjawab "&amp;B50</f>
        <v>Penanggungjawab Pengujian</v>
      </c>
      <c r="B20" s="834"/>
      <c r="C20" s="773" t="s">
        <v>7</v>
      </c>
      <c r="D20" s="834" t="e">
        <f>LH!#REF!</f>
        <v>#REF!</v>
      </c>
      <c r="E20" s="834"/>
      <c r="F20" s="834"/>
    </row>
    <row r="21" spans="1:10" ht="14.5" x14ac:dyDescent="0.35">
      <c r="A21" s="834" t="str">
        <f>"Lokasi "&amp;B50</f>
        <v>Lokasi Pengujian</v>
      </c>
      <c r="B21" s="834"/>
      <c r="C21" s="773" t="s">
        <v>7</v>
      </c>
      <c r="D21" s="846" t="str">
        <f>[1]Input!F9</f>
        <v>x2</v>
      </c>
      <c r="E21" s="847"/>
      <c r="F21" s="847"/>
      <c r="H21" s="790"/>
    </row>
    <row r="22" spans="1:10" ht="31.5" customHeight="1" x14ac:dyDescent="0.25">
      <c r="A22" s="847" t="str">
        <f>"Hasil "&amp;B50</f>
        <v>Hasil Pengujian</v>
      </c>
      <c r="B22" s="847"/>
      <c r="C22" s="791" t="s">
        <v>7</v>
      </c>
      <c r="D22" s="849" t="s">
        <v>398</v>
      </c>
      <c r="E22" s="849"/>
      <c r="F22" s="849"/>
    </row>
    <row r="23" spans="1:10" ht="14" x14ac:dyDescent="0.25">
      <c r="A23" s="834" t="s">
        <v>16</v>
      </c>
      <c r="B23" s="834"/>
      <c r="C23" s="773" t="s">
        <v>7</v>
      </c>
      <c r="D23" s="834" t="str">
        <f>[1]LK!E11</f>
        <v>MK.087-19</v>
      </c>
      <c r="E23" s="834"/>
      <c r="F23" s="834"/>
    </row>
    <row r="26" spans="1:10" ht="26.25" customHeight="1" x14ac:dyDescent="0.25">
      <c r="D26" s="792" t="s">
        <v>399</v>
      </c>
      <c r="E26" s="851">
        <f ca="1">TODAY()</f>
        <v>45187</v>
      </c>
      <c r="F26" s="851"/>
    </row>
    <row r="27" spans="1:10" ht="14" x14ac:dyDescent="0.25">
      <c r="D27" s="834" t="s">
        <v>400</v>
      </c>
      <c r="E27" s="834"/>
      <c r="F27" s="834"/>
    </row>
    <row r="28" spans="1:10" ht="14" x14ac:dyDescent="0.25">
      <c r="D28" s="834" t="s">
        <v>401</v>
      </c>
      <c r="E28" s="834"/>
      <c r="F28" s="834"/>
    </row>
    <row r="29" spans="1:10" ht="14" x14ac:dyDescent="0.25">
      <c r="D29" s="793"/>
      <c r="E29" s="793"/>
    </row>
    <row r="30" spans="1:10" ht="14" x14ac:dyDescent="0.25">
      <c r="D30" s="793"/>
      <c r="E30" s="793"/>
    </row>
    <row r="31" spans="1:10" ht="14" x14ac:dyDescent="0.25">
      <c r="D31" s="793"/>
      <c r="E31" s="793"/>
    </row>
    <row r="32" spans="1:10" ht="14" x14ac:dyDescent="0.25">
      <c r="D32" s="834" t="s">
        <v>402</v>
      </c>
      <c r="E32" s="834"/>
      <c r="F32" s="834"/>
    </row>
    <row r="33" spans="1:6" ht="14" x14ac:dyDescent="0.25">
      <c r="D33" s="850" t="s">
        <v>403</v>
      </c>
      <c r="E33" s="850"/>
      <c r="F33" s="850"/>
    </row>
    <row r="36" spans="1:6" ht="13" x14ac:dyDescent="0.25">
      <c r="A36" s="794"/>
      <c r="B36" s="794"/>
      <c r="C36" s="794"/>
      <c r="D36" s="794"/>
      <c r="E36" s="794"/>
      <c r="F36" s="794"/>
    </row>
    <row r="42" spans="1:6" ht="13" thickBot="1" x14ac:dyDescent="0.3"/>
    <row r="43" spans="1:6" ht="31.5" customHeight="1" x14ac:dyDescent="0.25">
      <c r="A43" s="795" t="s">
        <v>404</v>
      </c>
      <c r="B43" s="796" t="str">
        <f>MID(ID!I2,SEARCH("E - ",ID!I2),LEN(ID!I2))</f>
        <v>E - 009.678 DL</v>
      </c>
    </row>
    <row r="44" spans="1:6" x14ac:dyDescent="0.25">
      <c r="A44" s="797"/>
      <c r="B44" s="798"/>
    </row>
    <row r="45" spans="1:6" ht="24" customHeight="1" x14ac:dyDescent="0.25">
      <c r="A45" s="799" t="s">
        <v>405</v>
      </c>
      <c r="B45" s="800" t="str">
        <f>ID!A1</f>
        <v>INPUT DATA KALIBRASI KALIBRASI SHORT WAVE DIATHERMY</v>
      </c>
    </row>
    <row r="46" spans="1:6" ht="39" customHeight="1" x14ac:dyDescent="0.25">
      <c r="A46" s="799" t="s">
        <v>406</v>
      </c>
      <c r="B46" s="801" t="str">
        <f>IF(B45="INPUT DATA PENGUJIAN DENTAL UNIT",B47,B48)</f>
        <v>SERTIFIKAT PENGUJIAN</v>
      </c>
    </row>
    <row r="47" spans="1:6" ht="22.5" customHeight="1" x14ac:dyDescent="0.25">
      <c r="A47" s="799" t="s">
        <v>407</v>
      </c>
      <c r="B47" s="798" t="s">
        <v>408</v>
      </c>
    </row>
    <row r="48" spans="1:6" x14ac:dyDescent="0.25">
      <c r="A48" s="797"/>
      <c r="B48" s="798" t="s">
        <v>387</v>
      </c>
    </row>
    <row r="49" spans="1:2" x14ac:dyDescent="0.25">
      <c r="A49" s="797"/>
      <c r="B49" s="798"/>
    </row>
    <row r="50" spans="1:2" ht="48" customHeight="1" x14ac:dyDescent="0.25">
      <c r="A50" s="799" t="s">
        <v>409</v>
      </c>
      <c r="B50" s="798" t="str">
        <f>IF(RIGHT(A2,10)=" KALIBRASI","Kalibrasi","Pengujian")</f>
        <v>Pengujian</v>
      </c>
    </row>
    <row r="51" spans="1:2" x14ac:dyDescent="0.25">
      <c r="A51" s="797"/>
      <c r="B51" s="798"/>
    </row>
    <row r="52" spans="1:2" s="803" customFormat="1" ht="34.5" customHeight="1" x14ac:dyDescent="0.3">
      <c r="A52" s="799" t="s">
        <v>410</v>
      </c>
      <c r="B52" s="802" t="s">
        <v>411</v>
      </c>
    </row>
    <row r="53" spans="1:2" x14ac:dyDescent="0.25">
      <c r="A53" s="797"/>
      <c r="B53" s="798"/>
    </row>
    <row r="54" spans="1:2" ht="50.25" customHeight="1" x14ac:dyDescent="0.3">
      <c r="A54" s="804" t="s">
        <v>412</v>
      </c>
      <c r="B54" s="805" t="e">
        <f>DATE(YEAR(D19)+1,MONTH(D19),DAY(D19))</f>
        <v>#VALUE!</v>
      </c>
    </row>
    <row r="55" spans="1:2" ht="27" customHeight="1" x14ac:dyDescent="0.25">
      <c r="A55" s="799" t="s">
        <v>413</v>
      </c>
      <c r="B55" s="806" t="e">
        <f>TEXT(B54,"d mmmm yyyy")</f>
        <v>#VALUE!</v>
      </c>
    </row>
    <row r="56" spans="1:2" x14ac:dyDescent="0.25">
      <c r="A56" s="797"/>
      <c r="B56" s="798"/>
    </row>
    <row r="57" spans="1:2" ht="30" customHeight="1" x14ac:dyDescent="0.3">
      <c r="A57" s="804" t="s">
        <v>414</v>
      </c>
      <c r="B57" s="807" t="e">
        <f>IF(B46=B47,B58,B59)</f>
        <v>#VALUE!</v>
      </c>
    </row>
    <row r="58" spans="1:2" ht="14" x14ac:dyDescent="0.3">
      <c r="A58" s="797" t="s">
        <v>415</v>
      </c>
      <c r="B58" s="808" t="e">
        <f>CONCATENATE(B60,B55)</f>
        <v>#VALUE!</v>
      </c>
    </row>
    <row r="59" spans="1:2" ht="14" x14ac:dyDescent="0.3">
      <c r="A59" s="797"/>
      <c r="B59" s="808" t="e">
        <f>CONCATENATE(B61,B55)</f>
        <v>#VALUE!</v>
      </c>
    </row>
    <row r="60" spans="1:2" ht="42" customHeight="1" x14ac:dyDescent="0.3">
      <c r="A60" s="809" t="s">
        <v>407</v>
      </c>
      <c r="B60" s="808" t="s">
        <v>416</v>
      </c>
    </row>
    <row r="61" spans="1:2" ht="39.75" customHeight="1" thickBot="1" x14ac:dyDescent="0.35">
      <c r="A61" s="810"/>
      <c r="B61" s="811" t="s">
        <v>417</v>
      </c>
    </row>
  </sheetData>
  <sheetProtection formatRows="0"/>
  <mergeCells count="44">
    <mergeCell ref="D33:F33"/>
    <mergeCell ref="A23:B23"/>
    <mergeCell ref="D23:F23"/>
    <mergeCell ref="E26:F26"/>
    <mergeCell ref="D27:F27"/>
    <mergeCell ref="D28:F28"/>
    <mergeCell ref="D32:F32"/>
    <mergeCell ref="A20:B20"/>
    <mergeCell ref="D20:F20"/>
    <mergeCell ref="A21:B21"/>
    <mergeCell ref="D21:F21"/>
    <mergeCell ref="A22:B22"/>
    <mergeCell ref="D22:F22"/>
    <mergeCell ref="A19:B19"/>
    <mergeCell ref="D19:F19"/>
    <mergeCell ref="D14:E14"/>
    <mergeCell ref="I14:J14"/>
    <mergeCell ref="I15:J15"/>
    <mergeCell ref="A16:B16"/>
    <mergeCell ref="D16:F16"/>
    <mergeCell ref="I16:J16"/>
    <mergeCell ref="A17:B17"/>
    <mergeCell ref="D17:F17"/>
    <mergeCell ref="H17:J17"/>
    <mergeCell ref="A18:B18"/>
    <mergeCell ref="D18:F18"/>
    <mergeCell ref="I13:J13"/>
    <mergeCell ref="A8:B8"/>
    <mergeCell ref="D8:F8"/>
    <mergeCell ref="I8:J8"/>
    <mergeCell ref="A9:B9"/>
    <mergeCell ref="D9:F9"/>
    <mergeCell ref="I9:J9"/>
    <mergeCell ref="A10:B10"/>
    <mergeCell ref="D10:F10"/>
    <mergeCell ref="I10:J10"/>
    <mergeCell ref="A11:B11"/>
    <mergeCell ref="A12:B12"/>
    <mergeCell ref="D6:E6"/>
    <mergeCell ref="A2:F2"/>
    <mergeCell ref="I2:J2"/>
    <mergeCell ref="A3:F3"/>
    <mergeCell ref="D4:F4"/>
    <mergeCell ref="H5:J5"/>
  </mergeCells>
  <dataValidations count="3">
    <dataValidation type="list" allowBlank="1" showInputMessage="1" showErrorMessage="1" sqref="J12" xr:uid="{A483DC46-6F66-4D77-8ED3-4D6F340E1AF4}">
      <formula1>$O$9:$O$14</formula1>
    </dataValidation>
    <dataValidation type="list" allowBlank="1" showInputMessage="1" showErrorMessage="1" sqref="J11" xr:uid="{E9407F21-68EA-4B2D-BF99-5C2B1BF9DAEA}">
      <formula1>$M$2:$M$22</formula1>
    </dataValidation>
    <dataValidation type="list" allowBlank="1" showInputMessage="1" showErrorMessage="1" sqref="A2:F2" xr:uid="{DA120975-6D17-4E79-9C6E-B806E8E95FC9}">
      <formula1>"SERTIFIKAT KALIBRASI,SERTIFIKAT PENGUJIAN"</formula1>
    </dataValidation>
  </dataValidations>
  <pageMargins left="0.6" right="0.3" top="1.57" bottom="0" header="0.5" footer="0.6"/>
  <pageSetup paperSize="9" orientation="portrait" horizontalDpi="0" verticalDpi="0" r:id="rId1"/>
  <headerFooter>
    <oddFooter>&amp;L&amp;"Times New Roman,Bold"Sertifikat ini terdiri dari 2 halaman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D2C8-8F99-4288-A623-BA5B2898B2CC}">
  <sheetPr codeName="Sheet8"/>
  <dimension ref="A1:AC184"/>
  <sheetViews>
    <sheetView topLeftCell="A82" workbookViewId="0">
      <selection activeCell="A16" sqref="A16:C16"/>
    </sheetView>
  </sheetViews>
  <sheetFormatPr defaultRowHeight="12.5" x14ac:dyDescent="0.25"/>
  <cols>
    <col min="1" max="1" width="11.7265625" customWidth="1"/>
    <col min="2" max="2" width="9.54296875" customWidth="1"/>
    <col min="3" max="3" width="11" customWidth="1"/>
    <col min="4" max="4" width="9.54296875" customWidth="1"/>
    <col min="5" max="5" width="9" customWidth="1"/>
    <col min="6" max="6" width="12.1796875" bestFit="1" customWidth="1"/>
    <col min="7" max="7" width="11.453125" customWidth="1"/>
    <col min="10" max="10" width="13.54296875" bestFit="1" customWidth="1"/>
    <col min="12" max="12" width="10" customWidth="1"/>
    <col min="13" max="13" width="12.26953125" customWidth="1"/>
  </cols>
  <sheetData>
    <row r="1" spans="1:29" ht="13.5" thickBot="1" x14ac:dyDescent="0.35">
      <c r="A1" s="10"/>
      <c r="B1" s="11"/>
      <c r="C1" s="12"/>
      <c r="D1" s="12"/>
      <c r="E1" s="12"/>
      <c r="F1" s="13"/>
      <c r="G1" s="14"/>
      <c r="H1" s="10"/>
      <c r="I1" s="11"/>
      <c r="J1" s="12"/>
      <c r="K1" s="12"/>
      <c r="L1" s="12"/>
      <c r="M1" s="13"/>
      <c r="N1" s="14"/>
      <c r="O1" s="14"/>
      <c r="P1" s="14"/>
      <c r="Q1" s="15"/>
    </row>
    <row r="2" spans="1:29" ht="15" x14ac:dyDescent="0.25">
      <c r="A2" s="1091" t="s">
        <v>341</v>
      </c>
      <c r="B2" s="1092"/>
      <c r="C2" s="1092"/>
      <c r="D2" s="1092"/>
      <c r="E2" s="1092"/>
      <c r="F2" s="1092"/>
      <c r="G2" s="1092"/>
      <c r="H2" s="1092"/>
      <c r="I2" s="1092"/>
      <c r="J2" s="1092"/>
      <c r="K2" s="1092"/>
      <c r="L2" s="1092"/>
      <c r="M2" s="1092"/>
      <c r="N2" s="1092"/>
      <c r="O2" s="1092"/>
      <c r="P2" s="1092"/>
      <c r="Q2" s="1093"/>
      <c r="R2" s="16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</row>
    <row r="3" spans="1:29" ht="15.75" customHeight="1" x14ac:dyDescent="0.3">
      <c r="A3" s="1094" t="s">
        <v>342</v>
      </c>
      <c r="B3" s="1094"/>
      <c r="C3" s="1094"/>
      <c r="D3" s="1095" t="s">
        <v>272</v>
      </c>
      <c r="E3" s="1096" t="s">
        <v>329</v>
      </c>
      <c r="F3" s="1097"/>
      <c r="G3" s="1099" t="s">
        <v>343</v>
      </c>
      <c r="H3" s="1099"/>
      <c r="I3" s="1099"/>
      <c r="J3" s="1095" t="s">
        <v>272</v>
      </c>
      <c r="K3" s="1096" t="str">
        <f>E3</f>
        <v>U95 STD</v>
      </c>
      <c r="L3" s="18"/>
      <c r="M3" s="1094" t="s">
        <v>344</v>
      </c>
      <c r="N3" s="1094"/>
      <c r="O3" s="1094"/>
      <c r="P3" s="1095" t="s">
        <v>272</v>
      </c>
      <c r="Q3" s="1103" t="str">
        <f>K3</f>
        <v>U95 STD</v>
      </c>
      <c r="S3" s="19"/>
      <c r="T3" s="19"/>
      <c r="U3" s="19"/>
      <c r="V3" s="20"/>
      <c r="W3" s="21"/>
      <c r="X3" s="22"/>
      <c r="Y3" s="23"/>
      <c r="Z3" s="23"/>
      <c r="AA3" s="23"/>
      <c r="AB3" s="20"/>
      <c r="AC3" s="21"/>
    </row>
    <row r="4" spans="1:29" ht="12.75" customHeight="1" x14ac:dyDescent="0.25">
      <c r="A4" s="24" t="s">
        <v>345</v>
      </c>
      <c r="B4" s="1095" t="s">
        <v>271</v>
      </c>
      <c r="C4" s="1095"/>
      <c r="D4" s="1095"/>
      <c r="E4" s="1096"/>
      <c r="F4" s="1098"/>
      <c r="G4" s="111" t="str">
        <f>A4</f>
        <v>ECG</v>
      </c>
      <c r="H4" s="1095" t="s">
        <v>271</v>
      </c>
      <c r="I4" s="1095"/>
      <c r="J4" s="1095"/>
      <c r="K4" s="1096"/>
      <c r="L4" s="18"/>
      <c r="M4" s="111" t="str">
        <f>G4</f>
        <v>ECG</v>
      </c>
      <c r="N4" s="1095" t="s">
        <v>271</v>
      </c>
      <c r="O4" s="1095"/>
      <c r="P4" s="1095"/>
      <c r="Q4" s="1103"/>
      <c r="S4" s="107"/>
      <c r="T4" s="20"/>
      <c r="U4" s="20"/>
      <c r="V4" s="20"/>
      <c r="W4" s="21"/>
      <c r="X4" s="22"/>
      <c r="Y4" s="107"/>
      <c r="Z4" s="20"/>
      <c r="AA4" s="20"/>
      <c r="AB4" s="20"/>
      <c r="AC4" s="21"/>
    </row>
    <row r="5" spans="1:29" ht="12.75" customHeight="1" x14ac:dyDescent="0.25">
      <c r="A5" s="25" t="s">
        <v>11</v>
      </c>
      <c r="B5" s="27">
        <v>2020</v>
      </c>
      <c r="C5" s="27">
        <v>2018</v>
      </c>
      <c r="D5" s="1095"/>
      <c r="E5" s="1096"/>
      <c r="F5" s="1098"/>
      <c r="G5" s="28" t="str">
        <f>A5</f>
        <v>BPM</v>
      </c>
      <c r="H5" s="26">
        <v>2017</v>
      </c>
      <c r="I5" s="26">
        <v>2018</v>
      </c>
      <c r="J5" s="1095"/>
      <c r="K5" s="1096"/>
      <c r="L5" s="18"/>
      <c r="M5" s="28" t="str">
        <f>G5</f>
        <v>BPM</v>
      </c>
      <c r="N5" s="26">
        <v>2016</v>
      </c>
      <c r="O5" s="26">
        <v>2015</v>
      </c>
      <c r="P5" s="1095"/>
      <c r="Q5" s="1103"/>
      <c r="S5" s="29"/>
      <c r="T5" s="107"/>
      <c r="U5" s="30"/>
      <c r="V5" s="20"/>
      <c r="W5" s="21"/>
      <c r="X5" s="22"/>
      <c r="Y5" s="29"/>
      <c r="Z5" s="107"/>
      <c r="AA5" s="107"/>
      <c r="AB5" s="20"/>
      <c r="AC5" s="21"/>
    </row>
    <row r="6" spans="1:29" ht="13.5" customHeight="1" x14ac:dyDescent="0.25">
      <c r="A6" s="115">
        <v>30</v>
      </c>
      <c r="B6" s="116">
        <v>0</v>
      </c>
      <c r="C6" s="116">
        <v>0</v>
      </c>
      <c r="D6" s="117">
        <f>0.5*(MAX(B6:C6)-MIN(B6:C6))</f>
        <v>0</v>
      </c>
      <c r="E6" s="127">
        <f>18*0.01</f>
        <v>0.18</v>
      </c>
      <c r="F6" s="1098"/>
      <c r="G6" s="115">
        <v>30</v>
      </c>
      <c r="H6" s="120">
        <v>0</v>
      </c>
      <c r="I6" s="124">
        <v>0</v>
      </c>
      <c r="J6" s="117">
        <f>0.5*(MAX(H6:I6)-MIN(H6:I6))</f>
        <v>0</v>
      </c>
      <c r="K6" s="118">
        <f>1.86*0.01</f>
        <v>1.8600000000000002E-2</v>
      </c>
      <c r="L6" s="18"/>
      <c r="M6" s="115">
        <v>30</v>
      </c>
      <c r="N6" s="124">
        <v>0</v>
      </c>
      <c r="O6" s="124">
        <v>-0.01</v>
      </c>
      <c r="P6" s="117">
        <f>0.5*(MAX(N6:O6)-MIN(N6:O6))</f>
        <v>5.0000000000000001E-3</v>
      </c>
      <c r="Q6" s="389">
        <f>1.86*0.01</f>
        <v>1.8600000000000002E-2</v>
      </c>
      <c r="S6" s="38"/>
      <c r="T6" s="39"/>
      <c r="U6" s="40"/>
      <c r="V6" s="41"/>
      <c r="W6" s="42"/>
      <c r="X6" s="22"/>
      <c r="Y6" s="38"/>
      <c r="Z6" s="39"/>
      <c r="AA6" s="42"/>
      <c r="AB6" s="41"/>
      <c r="AC6" s="42"/>
    </row>
    <row r="7" spans="1:29" ht="12.75" customHeight="1" x14ac:dyDescent="0.25">
      <c r="A7" s="115">
        <v>60</v>
      </c>
      <c r="B7" s="116">
        <v>-0.18</v>
      </c>
      <c r="C7" s="116">
        <v>0</v>
      </c>
      <c r="D7" s="117">
        <f>0.5*(MAX(B7:C7)-MIN(B7:C7))</f>
        <v>0.09</v>
      </c>
      <c r="E7" s="127">
        <f>18*0.01</f>
        <v>0.18</v>
      </c>
      <c r="F7" s="1098"/>
      <c r="G7" s="115">
        <v>60</v>
      </c>
      <c r="H7" s="120">
        <v>0</v>
      </c>
      <c r="I7" s="124">
        <v>0</v>
      </c>
      <c r="J7" s="117">
        <f>0.5*(MAX(H7:I7)-MIN(H7:I7))</f>
        <v>0</v>
      </c>
      <c r="K7" s="118">
        <f>3.66*0.01</f>
        <v>3.6600000000000001E-2</v>
      </c>
      <c r="L7" s="18"/>
      <c r="M7" s="115">
        <v>60</v>
      </c>
      <c r="N7" s="124">
        <v>0</v>
      </c>
      <c r="O7" s="124">
        <v>-0.03</v>
      </c>
      <c r="P7" s="117">
        <f>0.5*(MAX(N7:O7)-MIN(N7:O7))</f>
        <v>1.4999999999999999E-2</v>
      </c>
      <c r="Q7" s="389">
        <f>3.66*0.01</f>
        <v>3.6600000000000001E-2</v>
      </c>
      <c r="S7" s="38"/>
      <c r="T7" s="39"/>
      <c r="U7" s="42"/>
      <c r="V7" s="41"/>
      <c r="W7" s="42"/>
      <c r="X7" s="22"/>
      <c r="Y7" s="38"/>
      <c r="Z7" s="39"/>
      <c r="AA7" s="42"/>
      <c r="AB7" s="41"/>
      <c r="AC7" s="42"/>
    </row>
    <row r="8" spans="1:29" ht="12.75" customHeight="1" x14ac:dyDescent="0.25">
      <c r="A8" s="115">
        <v>120</v>
      </c>
      <c r="B8" s="116">
        <v>-0.18</v>
      </c>
      <c r="C8" s="116">
        <v>0</v>
      </c>
      <c r="D8" s="117">
        <f>0.5*(MAX(B8:C8)-MIN(B8:C8))</f>
        <v>0.09</v>
      </c>
      <c r="E8" s="127">
        <f>18*0.01</f>
        <v>0.18</v>
      </c>
      <c r="F8" s="1098"/>
      <c r="G8" s="115">
        <v>120</v>
      </c>
      <c r="H8" s="120">
        <v>0</v>
      </c>
      <c r="I8" s="124">
        <v>0</v>
      </c>
      <c r="J8" s="117">
        <f>0.5*(MAX(H8:I8)-MIN(H8:I8))</f>
        <v>0</v>
      </c>
      <c r="K8" s="118">
        <f>7.26*0.01</f>
        <v>7.2599999999999998E-2</v>
      </c>
      <c r="L8" s="18"/>
      <c r="M8" s="115">
        <v>120</v>
      </c>
      <c r="N8" s="124">
        <v>0.06</v>
      </c>
      <c r="O8" s="124">
        <v>-0.1</v>
      </c>
      <c r="P8" s="117">
        <f>0.5*(MAX(N8:O8)-MIN(N8:O8))</f>
        <v>0.08</v>
      </c>
      <c r="Q8" s="389">
        <f>7.26*0.01</f>
        <v>7.2599999999999998E-2</v>
      </c>
      <c r="S8" s="38"/>
      <c r="T8" s="39"/>
      <c r="U8" s="42"/>
      <c r="V8" s="41"/>
      <c r="W8" s="42"/>
      <c r="X8" s="22"/>
      <c r="Y8" s="38"/>
      <c r="Z8" s="39"/>
      <c r="AA8" s="42"/>
      <c r="AB8" s="41"/>
      <c r="AC8" s="42"/>
    </row>
    <row r="9" spans="1:29" ht="12.75" customHeight="1" thickBot="1" x14ac:dyDescent="0.3">
      <c r="A9" s="121">
        <v>180</v>
      </c>
      <c r="B9" s="116">
        <v>0.18</v>
      </c>
      <c r="C9" s="116">
        <v>0</v>
      </c>
      <c r="D9" s="119">
        <f>0.5*(MAX(B9:C9)-MIN(B9:C9))</f>
        <v>0.09</v>
      </c>
      <c r="E9" s="127">
        <f>18*0.01</f>
        <v>0.18</v>
      </c>
      <c r="F9" s="1098"/>
      <c r="G9" s="121">
        <v>180</v>
      </c>
      <c r="H9" s="122">
        <v>0</v>
      </c>
      <c r="I9" s="125">
        <v>0</v>
      </c>
      <c r="J9" s="123">
        <f>0.5*(MAX(H9:I9)-MIN(H9:I9))</f>
        <v>0</v>
      </c>
      <c r="K9" s="118">
        <f>10.86*0.01</f>
        <v>0.1086</v>
      </c>
      <c r="L9" s="18"/>
      <c r="M9" s="121">
        <v>180</v>
      </c>
      <c r="N9" s="125">
        <v>0</v>
      </c>
      <c r="O9" s="125">
        <v>0.1</v>
      </c>
      <c r="P9" s="123">
        <f>0.5*(MAX(N9:O9)-MIN(N9:O9))</f>
        <v>0.05</v>
      </c>
      <c r="Q9" s="389">
        <f>10.86*0.01</f>
        <v>0.1086</v>
      </c>
      <c r="S9" s="38"/>
      <c r="T9" s="39"/>
      <c r="U9" s="40"/>
      <c r="V9" s="41"/>
      <c r="W9" s="42"/>
      <c r="X9" s="22"/>
      <c r="Y9" s="38"/>
      <c r="Z9" s="39"/>
      <c r="AA9" s="40"/>
      <c r="AB9" s="41"/>
      <c r="AC9" s="42"/>
    </row>
    <row r="10" spans="1:29" ht="12.75" customHeight="1" thickBot="1" x14ac:dyDescent="0.3">
      <c r="A10" s="385">
        <v>240</v>
      </c>
      <c r="B10" s="116">
        <v>-0.18</v>
      </c>
      <c r="C10" s="116">
        <v>0</v>
      </c>
      <c r="D10" s="119">
        <f>0.5*(MAX(B10:C10)-MIN(B10:C10))</f>
        <v>0.09</v>
      </c>
      <c r="E10" s="127">
        <f>18*0.01</f>
        <v>0.18</v>
      </c>
      <c r="F10" s="1098"/>
      <c r="G10" s="385">
        <v>240</v>
      </c>
      <c r="H10" s="126">
        <v>0</v>
      </c>
      <c r="I10" s="705">
        <v>0</v>
      </c>
      <c r="J10" s="123">
        <f>0.5*(MAX(H10:I10)-MIN(H10:I10))</f>
        <v>0</v>
      </c>
      <c r="K10" s="309">
        <f>14.46*0.01</f>
        <v>0.14460000000000001</v>
      </c>
      <c r="L10" s="18"/>
      <c r="M10" s="385">
        <v>240</v>
      </c>
      <c r="N10" s="705">
        <v>0.06</v>
      </c>
      <c r="O10" s="705">
        <v>-7.0000000000000007E-2</v>
      </c>
      <c r="P10" s="117">
        <f>0.5*(MAX(N10:O10)-MIN(N10:O10))</f>
        <v>6.5000000000000002E-2</v>
      </c>
      <c r="Q10" s="309">
        <f>14.46*0.01</f>
        <v>0.14460000000000001</v>
      </c>
      <c r="S10" s="38"/>
      <c r="T10" s="39"/>
      <c r="U10" s="40"/>
      <c r="V10" s="41"/>
      <c r="W10" s="42"/>
      <c r="X10" s="22"/>
      <c r="Y10" s="38"/>
      <c r="Z10" s="39"/>
      <c r="AA10" s="40"/>
      <c r="AB10" s="41"/>
      <c r="AC10" s="42"/>
    </row>
    <row r="11" spans="1:29" ht="12.75" customHeight="1" x14ac:dyDescent="0.25">
      <c r="A11" s="35"/>
      <c r="B11" s="31"/>
      <c r="C11" s="32"/>
      <c r="D11" s="33"/>
      <c r="E11" s="34"/>
      <c r="F11" s="1098"/>
      <c r="G11" s="35"/>
      <c r="H11" s="32"/>
      <c r="I11" s="32"/>
      <c r="J11" s="33"/>
      <c r="K11" s="34"/>
      <c r="L11" s="18"/>
      <c r="M11" s="35"/>
      <c r="N11" s="36"/>
      <c r="O11" s="36"/>
      <c r="P11" s="33"/>
      <c r="Q11" s="37"/>
      <c r="S11" s="38"/>
      <c r="T11" s="39"/>
      <c r="U11" s="40"/>
      <c r="V11" s="41"/>
      <c r="W11" s="42"/>
      <c r="X11" s="22"/>
      <c r="Y11" s="38"/>
      <c r="Z11" s="39"/>
      <c r="AA11" s="40"/>
      <c r="AB11" s="41"/>
      <c r="AC11" s="42"/>
    </row>
    <row r="12" spans="1:29" ht="12.75" customHeight="1" x14ac:dyDescent="0.25">
      <c r="A12" s="35"/>
      <c r="B12" s="31"/>
      <c r="C12" s="32"/>
      <c r="D12" s="33"/>
      <c r="E12" s="34"/>
      <c r="F12" s="1098"/>
      <c r="G12" s="35"/>
      <c r="H12" s="32"/>
      <c r="I12" s="32"/>
      <c r="J12" s="33"/>
      <c r="K12" s="34"/>
      <c r="L12" s="18"/>
      <c r="M12" s="35"/>
      <c r="N12" s="36"/>
      <c r="O12" s="36"/>
      <c r="P12" s="33"/>
      <c r="Q12" s="37"/>
      <c r="S12" s="38"/>
      <c r="T12" s="39"/>
      <c r="U12" s="40"/>
      <c r="V12" s="41"/>
      <c r="W12" s="42"/>
      <c r="X12" s="22"/>
      <c r="Y12" s="38"/>
      <c r="Z12" s="39"/>
      <c r="AA12" s="40"/>
      <c r="AB12" s="41"/>
      <c r="AC12" s="42"/>
    </row>
    <row r="13" spans="1:29" ht="12.75" customHeight="1" x14ac:dyDescent="0.25">
      <c r="A13" s="35"/>
      <c r="B13" s="31"/>
      <c r="C13" s="32"/>
      <c r="D13" s="43"/>
      <c r="E13" s="34"/>
      <c r="F13" s="1098"/>
      <c r="G13" s="35"/>
      <c r="H13" s="32"/>
      <c r="I13" s="32"/>
      <c r="J13" s="43"/>
      <c r="K13" s="34"/>
      <c r="L13" s="18"/>
      <c r="M13" s="35"/>
      <c r="N13" s="36"/>
      <c r="O13" s="36"/>
      <c r="P13" s="43"/>
      <c r="Q13" s="37"/>
      <c r="S13" s="38"/>
      <c r="T13" s="39"/>
      <c r="U13" s="40"/>
      <c r="V13" s="39"/>
      <c r="W13" s="39"/>
      <c r="X13" s="22"/>
      <c r="Y13" s="38"/>
      <c r="Z13" s="39"/>
      <c r="AA13" s="40"/>
      <c r="AB13" s="39"/>
      <c r="AC13" s="39"/>
    </row>
    <row r="14" spans="1:29" ht="12.75" customHeight="1" x14ac:dyDescent="0.25">
      <c r="A14" s="35"/>
      <c r="B14" s="32"/>
      <c r="C14" s="31"/>
      <c r="D14" s="44"/>
      <c r="E14" s="34"/>
      <c r="F14" s="1098"/>
      <c r="G14" s="35"/>
      <c r="H14" s="32"/>
      <c r="I14" s="32"/>
      <c r="J14" s="43"/>
      <c r="K14" s="34"/>
      <c r="L14" s="18"/>
      <c r="M14" s="35"/>
      <c r="N14" s="36"/>
      <c r="O14" s="36"/>
      <c r="P14" s="43"/>
      <c r="Q14" s="37"/>
      <c r="S14" s="38"/>
      <c r="T14" s="39"/>
      <c r="U14" s="40"/>
      <c r="V14" s="39"/>
      <c r="W14" s="39"/>
      <c r="X14" s="22"/>
      <c r="Y14" s="38"/>
      <c r="Z14" s="39"/>
      <c r="AA14" s="40"/>
      <c r="AB14" s="39"/>
      <c r="AC14" s="39"/>
    </row>
    <row r="15" spans="1:29" ht="12.75" customHeight="1" x14ac:dyDescent="0.3">
      <c r="A15" s="1104"/>
      <c r="B15" s="1105"/>
      <c r="C15" s="1105"/>
      <c r="D15" s="1105"/>
      <c r="E15" s="1106"/>
      <c r="F15" s="1098"/>
      <c r="G15" s="1107"/>
      <c r="H15" s="1108"/>
      <c r="I15" s="1108"/>
      <c r="J15" s="1108"/>
      <c r="K15" s="1109"/>
      <c r="L15" s="14"/>
      <c r="M15" s="1110"/>
      <c r="N15" s="1105"/>
      <c r="O15" s="1105"/>
      <c r="P15" s="1105"/>
      <c r="Q15" s="1111"/>
      <c r="S15" s="18"/>
      <c r="T15" s="18"/>
      <c r="U15" s="18"/>
      <c r="V15" s="18"/>
      <c r="W15" s="18"/>
      <c r="X15" s="22"/>
      <c r="Y15" s="14"/>
      <c r="Z15" s="14"/>
      <c r="AA15" s="14"/>
      <c r="AB15" s="14"/>
      <c r="AC15" s="14"/>
    </row>
    <row r="16" spans="1:29" ht="15.75" customHeight="1" x14ac:dyDescent="0.3">
      <c r="A16" s="1094" t="s">
        <v>346</v>
      </c>
      <c r="B16" s="1094"/>
      <c r="C16" s="1094"/>
      <c r="D16" s="1095" t="s">
        <v>272</v>
      </c>
      <c r="E16" s="1096" t="str">
        <f>E3</f>
        <v>U95 STD</v>
      </c>
      <c r="F16" s="1098"/>
      <c r="G16" s="1100" t="s">
        <v>347</v>
      </c>
      <c r="H16" s="1101"/>
      <c r="I16" s="1102"/>
      <c r="J16" s="1095" t="s">
        <v>272</v>
      </c>
      <c r="K16" s="1096" t="str">
        <f>E16</f>
        <v>U95 STD</v>
      </c>
      <c r="L16" s="14"/>
      <c r="M16" s="1100" t="s">
        <v>348</v>
      </c>
      <c r="N16" s="1101"/>
      <c r="O16" s="1102"/>
      <c r="P16" s="1095" t="s">
        <v>272</v>
      </c>
      <c r="Q16" s="1103" t="str">
        <f>K16</f>
        <v>U95 STD</v>
      </c>
      <c r="S16" s="19"/>
      <c r="T16" s="19"/>
      <c r="U16" s="19"/>
      <c r="V16" s="20"/>
      <c r="W16" s="21"/>
      <c r="X16" s="22"/>
      <c r="Y16" s="19"/>
      <c r="Z16" s="19"/>
      <c r="AA16" s="19"/>
      <c r="AB16" s="20"/>
      <c r="AC16" s="21"/>
    </row>
    <row r="17" spans="1:29" ht="12.75" customHeight="1" x14ac:dyDescent="0.3">
      <c r="A17" s="24" t="str">
        <f>A4</f>
        <v>ECG</v>
      </c>
      <c r="B17" s="1095" t="s">
        <v>271</v>
      </c>
      <c r="C17" s="1095"/>
      <c r="D17" s="1095"/>
      <c r="E17" s="1096"/>
      <c r="F17" s="1098"/>
      <c r="G17" s="111" t="str">
        <f>A17</f>
        <v>ECG</v>
      </c>
      <c r="H17" s="1095" t="s">
        <v>271</v>
      </c>
      <c r="I17" s="1095"/>
      <c r="J17" s="1095"/>
      <c r="K17" s="1096"/>
      <c r="L17" s="14"/>
      <c r="M17" s="111" t="str">
        <f>G17</f>
        <v>ECG</v>
      </c>
      <c r="N17" s="1095" t="s">
        <v>271</v>
      </c>
      <c r="O17" s="1095"/>
      <c r="P17" s="1095"/>
      <c r="Q17" s="1103"/>
      <c r="S17" s="107"/>
      <c r="T17" s="20"/>
      <c r="U17" s="20"/>
      <c r="V17" s="20"/>
      <c r="W17" s="21"/>
      <c r="X17" s="22"/>
      <c r="Y17" s="107"/>
      <c r="Z17" s="20"/>
      <c r="AA17" s="20"/>
      <c r="AB17" s="20"/>
      <c r="AC17" s="21"/>
    </row>
    <row r="18" spans="1:29" ht="15" customHeight="1" x14ac:dyDescent="0.3">
      <c r="A18" s="25" t="str">
        <f>A5</f>
        <v>BPM</v>
      </c>
      <c r="B18" s="26">
        <v>2017</v>
      </c>
      <c r="C18" s="26">
        <v>2014</v>
      </c>
      <c r="D18" s="1095"/>
      <c r="E18" s="1096"/>
      <c r="F18" s="1098"/>
      <c r="G18" s="28" t="str">
        <f>A18</f>
        <v>BPM</v>
      </c>
      <c r="H18" s="27">
        <v>2020</v>
      </c>
      <c r="I18" s="27">
        <v>2017</v>
      </c>
      <c r="J18" s="1095"/>
      <c r="K18" s="1096"/>
      <c r="L18" s="14"/>
      <c r="M18" s="28" t="str">
        <f>G18</f>
        <v>BPM</v>
      </c>
      <c r="N18" s="27">
        <v>2020</v>
      </c>
      <c r="O18" s="27">
        <v>2017</v>
      </c>
      <c r="P18" s="1095"/>
      <c r="Q18" s="1103"/>
      <c r="S18" s="29"/>
      <c r="T18" s="107"/>
      <c r="U18" s="107"/>
      <c r="V18" s="20"/>
      <c r="W18" s="21"/>
      <c r="X18" s="22"/>
      <c r="Y18" s="29"/>
      <c r="Z18" s="107"/>
      <c r="AA18" s="107"/>
      <c r="AB18" s="20"/>
      <c r="AC18" s="21"/>
    </row>
    <row r="19" spans="1:29" ht="12.75" customHeight="1" x14ac:dyDescent="0.3">
      <c r="A19" s="115">
        <v>30</v>
      </c>
      <c r="B19" s="120">
        <v>0</v>
      </c>
      <c r="C19" s="120">
        <v>0</v>
      </c>
      <c r="D19" s="117">
        <f>0.5*(MAX(B19:C19)-MIN(B19:C19))</f>
        <v>0</v>
      </c>
      <c r="E19" s="389">
        <f>1.86*0.01</f>
        <v>1.8600000000000002E-2</v>
      </c>
      <c r="F19" s="1098"/>
      <c r="G19" s="115">
        <v>30</v>
      </c>
      <c r="H19" s="387">
        <v>0</v>
      </c>
      <c r="I19" s="387">
        <v>0</v>
      </c>
      <c r="J19" s="116" t="s">
        <v>243</v>
      </c>
      <c r="K19" s="127">
        <f>18*0.01</f>
        <v>0.18</v>
      </c>
      <c r="L19" s="14"/>
      <c r="M19" s="115">
        <v>30</v>
      </c>
      <c r="N19" s="120">
        <v>0</v>
      </c>
      <c r="O19" s="120">
        <v>0</v>
      </c>
      <c r="P19" s="117">
        <f>0.5*(MAX(N19:O19)-MIN(N19:O19))</f>
        <v>0</v>
      </c>
      <c r="Q19" s="127">
        <f>18*0.01</f>
        <v>0.18</v>
      </c>
      <c r="S19" s="38"/>
      <c r="T19" s="39"/>
      <c r="U19" s="42"/>
      <c r="V19" s="41"/>
      <c r="W19" s="42"/>
      <c r="X19" s="22"/>
      <c r="Y19" s="38"/>
      <c r="Z19" s="39"/>
      <c r="AA19" s="42"/>
      <c r="AB19" s="41"/>
      <c r="AC19" s="42"/>
    </row>
    <row r="20" spans="1:29" ht="12.75" customHeight="1" x14ac:dyDescent="0.3">
      <c r="A20" s="115">
        <v>60</v>
      </c>
      <c r="B20" s="120">
        <v>0</v>
      </c>
      <c r="C20" s="120">
        <v>0</v>
      </c>
      <c r="D20" s="117">
        <f>0.5*(MAX(B20:C20)-MIN(B20:C20))</f>
        <v>0</v>
      </c>
      <c r="E20" s="389">
        <f>3.66*0.01</f>
        <v>3.6600000000000001E-2</v>
      </c>
      <c r="F20" s="1098"/>
      <c r="G20" s="115">
        <v>60</v>
      </c>
      <c r="H20" s="387">
        <v>-0.12</v>
      </c>
      <c r="I20" s="387">
        <v>0</v>
      </c>
      <c r="J20" s="116" t="s">
        <v>243</v>
      </c>
      <c r="K20" s="127">
        <f>18*0.01</f>
        <v>0.18</v>
      </c>
      <c r="L20" s="14"/>
      <c r="M20" s="115">
        <v>60</v>
      </c>
      <c r="N20" s="120">
        <v>-0.12</v>
      </c>
      <c r="O20" s="120">
        <v>0</v>
      </c>
      <c r="P20" s="117">
        <f>0.5*(MAX(N20:O20)-MIN(N20:O20))</f>
        <v>0.06</v>
      </c>
      <c r="Q20" s="127">
        <f>18*0.01</f>
        <v>0.18</v>
      </c>
      <c r="S20" s="38"/>
      <c r="T20" s="39"/>
      <c r="U20" s="42"/>
      <c r="V20" s="41"/>
      <c r="W20" s="42"/>
      <c r="X20" s="22"/>
      <c r="Y20" s="38"/>
      <c r="Z20" s="39"/>
      <c r="AA20" s="42"/>
      <c r="AB20" s="41"/>
      <c r="AC20" s="42"/>
    </row>
    <row r="21" spans="1:29" ht="12.75" customHeight="1" x14ac:dyDescent="0.3">
      <c r="A21" s="115">
        <v>120</v>
      </c>
      <c r="B21" s="120">
        <v>0</v>
      </c>
      <c r="C21" s="120">
        <v>0.06</v>
      </c>
      <c r="D21" s="117">
        <f>0.5*(MAX(B21:C21)-MIN(B21:C21))</f>
        <v>0.03</v>
      </c>
      <c r="E21" s="389">
        <f>7.26*0.01</f>
        <v>7.2599999999999998E-2</v>
      </c>
      <c r="F21" s="1098"/>
      <c r="G21" s="115">
        <v>120</v>
      </c>
      <c r="H21" s="387">
        <v>-0.12</v>
      </c>
      <c r="I21" s="387">
        <v>0</v>
      </c>
      <c r="J21" s="116" t="s">
        <v>243</v>
      </c>
      <c r="K21" s="127">
        <f>18*0.01</f>
        <v>0.18</v>
      </c>
      <c r="L21" s="14"/>
      <c r="M21" s="115">
        <v>120</v>
      </c>
      <c r="N21" s="120">
        <v>-0.12</v>
      </c>
      <c r="O21" s="120">
        <v>0</v>
      </c>
      <c r="P21" s="117">
        <f>0.5*(MAX(N21:O21)-MIN(N21:O21))</f>
        <v>0.06</v>
      </c>
      <c r="Q21" s="127">
        <f>18*0.01</f>
        <v>0.18</v>
      </c>
      <c r="S21" s="38"/>
      <c r="T21" s="39"/>
      <c r="U21" s="42"/>
      <c r="V21" s="41"/>
      <c r="W21" s="42"/>
      <c r="X21" s="22"/>
      <c r="Y21" s="38"/>
      <c r="Z21" s="39"/>
      <c r="AA21" s="42"/>
      <c r="AB21" s="41"/>
      <c r="AC21" s="42"/>
    </row>
    <row r="22" spans="1:29" ht="12.75" customHeight="1" thickBot="1" x14ac:dyDescent="0.35">
      <c r="A22" s="121">
        <v>180</v>
      </c>
      <c r="B22" s="122">
        <v>0</v>
      </c>
      <c r="C22" s="122" t="s">
        <v>243</v>
      </c>
      <c r="D22" s="123">
        <f>0.5*(MAX(B22:C22)-MIN(B22:C22))</f>
        <v>0</v>
      </c>
      <c r="E22" s="389">
        <f>10.86*0.01</f>
        <v>0.1086</v>
      </c>
      <c r="F22" s="1098"/>
      <c r="G22" s="121">
        <v>180</v>
      </c>
      <c r="H22" s="388">
        <v>-0.06</v>
      </c>
      <c r="I22" s="388">
        <v>0</v>
      </c>
      <c r="J22" s="128" t="s">
        <v>243</v>
      </c>
      <c r="K22" s="127">
        <f>18*0.01</f>
        <v>0.18</v>
      </c>
      <c r="L22" s="14"/>
      <c r="M22" s="121">
        <v>180</v>
      </c>
      <c r="N22" s="122">
        <v>0.06</v>
      </c>
      <c r="O22" s="122">
        <v>0</v>
      </c>
      <c r="P22" s="123">
        <f>0.5*(MAX(N22:O22)-MIN(N22:O22))</f>
        <v>0.03</v>
      </c>
      <c r="Q22" s="127">
        <f>18*0.01</f>
        <v>0.18</v>
      </c>
      <c r="S22" s="38"/>
      <c r="T22" s="39"/>
      <c r="U22" s="40"/>
      <c r="V22" s="41"/>
      <c r="W22" s="42"/>
      <c r="X22" s="22"/>
      <c r="Y22" s="38"/>
      <c r="Z22" s="39"/>
      <c r="AA22" s="40"/>
      <c r="AB22" s="41"/>
      <c r="AC22" s="42"/>
    </row>
    <row r="23" spans="1:29" ht="12.75" customHeight="1" thickBot="1" x14ac:dyDescent="0.35">
      <c r="A23" s="385">
        <v>240</v>
      </c>
      <c r="B23" s="126">
        <v>0</v>
      </c>
      <c r="C23" s="126">
        <v>0.06</v>
      </c>
      <c r="D23" s="123">
        <f>0.5*(MAX(B23:C23)-MIN(B23:C23))</f>
        <v>0.03</v>
      </c>
      <c r="E23" s="309">
        <f>14.46*0.01</f>
        <v>0.14460000000000001</v>
      </c>
      <c r="F23" s="1098"/>
      <c r="G23" s="385">
        <v>240</v>
      </c>
      <c r="H23" s="126">
        <v>-0.06</v>
      </c>
      <c r="I23" s="126">
        <v>0</v>
      </c>
      <c r="J23" s="128" t="s">
        <v>243</v>
      </c>
      <c r="K23" s="127">
        <f>18*0.01</f>
        <v>0.18</v>
      </c>
      <c r="L23" s="14"/>
      <c r="M23" s="385">
        <v>240</v>
      </c>
      <c r="N23" s="386">
        <v>-0.12</v>
      </c>
      <c r="O23" s="386">
        <v>0</v>
      </c>
      <c r="P23" s="34">
        <f>0.5*(MAX(N23:O23)-MIN(N23:O23))</f>
        <v>0.06</v>
      </c>
      <c r="Q23" s="127">
        <f>18*0.01</f>
        <v>0.18</v>
      </c>
      <c r="S23" s="38"/>
      <c r="T23" s="39"/>
      <c r="U23" s="40"/>
      <c r="V23" s="41"/>
      <c r="W23" s="42"/>
      <c r="X23" s="22"/>
      <c r="Y23" s="38"/>
      <c r="Z23" s="39"/>
      <c r="AA23" s="40"/>
      <c r="AB23" s="41"/>
      <c r="AC23" s="42"/>
    </row>
    <row r="24" spans="1:29" ht="12.75" customHeight="1" x14ac:dyDescent="0.3">
      <c r="A24" s="35"/>
      <c r="B24" s="31"/>
      <c r="C24" s="32"/>
      <c r="D24" s="33"/>
      <c r="E24" s="34"/>
      <c r="F24" s="1098"/>
      <c r="G24" s="35"/>
      <c r="H24" s="32"/>
      <c r="I24" s="31"/>
      <c r="J24" s="33"/>
      <c r="K24" s="34"/>
      <c r="L24" s="14"/>
      <c r="M24" s="35"/>
      <c r="N24" s="31"/>
      <c r="O24" s="31"/>
      <c r="P24" s="34"/>
      <c r="Q24" s="37"/>
      <c r="S24" s="38"/>
      <c r="T24" s="39"/>
      <c r="U24" s="40"/>
      <c r="V24" s="41"/>
      <c r="W24" s="42"/>
      <c r="X24" s="22"/>
      <c r="Y24" s="38"/>
      <c r="Z24" s="39"/>
      <c r="AA24" s="40"/>
      <c r="AB24" s="41"/>
      <c r="AC24" s="42"/>
    </row>
    <row r="25" spans="1:29" ht="12.75" customHeight="1" x14ac:dyDescent="0.3">
      <c r="A25" s="35"/>
      <c r="B25" s="31"/>
      <c r="C25" s="32"/>
      <c r="D25" s="33"/>
      <c r="E25" s="34"/>
      <c r="F25" s="1098"/>
      <c r="G25" s="35"/>
      <c r="H25" s="32"/>
      <c r="I25" s="31"/>
      <c r="J25" s="33"/>
      <c r="K25" s="34"/>
      <c r="L25" s="14"/>
      <c r="M25" s="35"/>
      <c r="N25" s="31"/>
      <c r="O25" s="31"/>
      <c r="P25" s="34"/>
      <c r="Q25" s="37"/>
      <c r="S25" s="38"/>
      <c r="T25" s="39"/>
      <c r="U25" s="40"/>
      <c r="V25" s="41"/>
      <c r="W25" s="42"/>
      <c r="X25" s="22"/>
      <c r="Y25" s="38"/>
      <c r="Z25" s="39"/>
      <c r="AA25" s="40"/>
      <c r="AB25" s="41"/>
      <c r="AC25" s="42"/>
    </row>
    <row r="26" spans="1:29" ht="12.75" customHeight="1" x14ac:dyDescent="0.3">
      <c r="A26" s="35"/>
      <c r="B26" s="31"/>
      <c r="C26" s="32"/>
      <c r="D26" s="43"/>
      <c r="E26" s="34"/>
      <c r="F26" s="1098"/>
      <c r="G26" s="35"/>
      <c r="H26" s="32"/>
      <c r="I26" s="31"/>
      <c r="J26" s="43"/>
      <c r="K26" s="34"/>
      <c r="L26" s="14"/>
      <c r="M26" s="35"/>
      <c r="N26" s="31"/>
      <c r="O26" s="31"/>
      <c r="P26" s="34"/>
      <c r="Q26" s="37"/>
      <c r="S26" s="38"/>
      <c r="T26" s="39"/>
      <c r="U26" s="40"/>
      <c r="V26" s="39"/>
      <c r="W26" s="39"/>
      <c r="X26" s="22"/>
      <c r="Y26" s="38"/>
      <c r="Z26" s="39"/>
      <c r="AA26" s="40"/>
      <c r="AB26" s="39"/>
      <c r="AC26" s="39"/>
    </row>
    <row r="27" spans="1:29" ht="12.75" customHeight="1" x14ac:dyDescent="0.3">
      <c r="A27" s="35"/>
      <c r="B27" s="31"/>
      <c r="C27" s="32"/>
      <c r="D27" s="43"/>
      <c r="E27" s="34"/>
      <c r="F27" s="1098"/>
      <c r="G27" s="35"/>
      <c r="H27" s="32"/>
      <c r="I27" s="31"/>
      <c r="J27" s="43"/>
      <c r="K27" s="34"/>
      <c r="L27" s="14"/>
      <c r="M27" s="35"/>
      <c r="N27" s="31"/>
      <c r="O27" s="31"/>
      <c r="P27" s="34"/>
      <c r="Q27" s="37"/>
      <c r="S27" s="38"/>
      <c r="T27" s="39"/>
      <c r="U27" s="40"/>
      <c r="V27" s="39"/>
      <c r="W27" s="39"/>
      <c r="X27" s="45"/>
      <c r="Y27" s="38"/>
      <c r="Z27" s="39"/>
      <c r="AA27" s="40"/>
      <c r="AB27" s="39"/>
      <c r="AC27" s="39"/>
    </row>
    <row r="28" spans="1:29" ht="12.75" customHeight="1" x14ac:dyDescent="0.25">
      <c r="A28" s="46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47"/>
      <c r="M28" s="48"/>
      <c r="N28" s="18"/>
      <c r="O28" s="18"/>
      <c r="P28" s="18"/>
      <c r="Q28" s="4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</row>
    <row r="29" spans="1:29" ht="13" x14ac:dyDescent="0.3">
      <c r="A29" s="50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2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</row>
    <row r="30" spans="1:29" ht="15.75" customHeight="1" x14ac:dyDescent="0.3">
      <c r="A30" s="1100" t="s">
        <v>349</v>
      </c>
      <c r="B30" s="1101"/>
      <c r="C30" s="1102"/>
      <c r="D30" s="1095" t="s">
        <v>272</v>
      </c>
      <c r="E30" s="1096" t="str">
        <f>E16</f>
        <v>U95 STD</v>
      </c>
      <c r="F30" s="1097"/>
      <c r="G30" s="1100" t="s">
        <v>350</v>
      </c>
      <c r="H30" s="1101"/>
      <c r="I30" s="1102"/>
      <c r="J30" s="1095" t="s">
        <v>272</v>
      </c>
      <c r="K30" s="1096" t="str">
        <f>E30</f>
        <v>U95 STD</v>
      </c>
      <c r="L30" s="51"/>
      <c r="M30" s="1100" t="s">
        <v>351</v>
      </c>
      <c r="N30" s="1101"/>
      <c r="O30" s="1102"/>
      <c r="P30" s="1095" t="s">
        <v>272</v>
      </c>
      <c r="Q30" s="1096" t="str">
        <f>E30</f>
        <v>U95 STD</v>
      </c>
      <c r="S30" s="19"/>
      <c r="T30" s="19"/>
      <c r="U30" s="19"/>
      <c r="V30" s="20"/>
      <c r="W30" s="21"/>
      <c r="X30" s="22"/>
      <c r="Y30" s="23"/>
      <c r="Z30" s="23"/>
      <c r="AA30" s="23"/>
      <c r="AB30" s="20"/>
      <c r="AC30" s="21"/>
    </row>
    <row r="31" spans="1:29" ht="12.75" customHeight="1" x14ac:dyDescent="0.3">
      <c r="A31" s="24" t="str">
        <f>A17</f>
        <v>ECG</v>
      </c>
      <c r="B31" s="1095" t="s">
        <v>271</v>
      </c>
      <c r="C31" s="1095"/>
      <c r="D31" s="1095"/>
      <c r="E31" s="1096"/>
      <c r="F31" s="1098"/>
      <c r="G31" s="111" t="str">
        <f>M18</f>
        <v>BPM</v>
      </c>
      <c r="H31" s="1095" t="s">
        <v>271</v>
      </c>
      <c r="I31" s="1095"/>
      <c r="J31" s="1095"/>
      <c r="K31" s="1096"/>
      <c r="L31" s="51"/>
      <c r="M31" s="111" t="str">
        <f>A31</f>
        <v>ECG</v>
      </c>
      <c r="N31" s="1095" t="s">
        <v>271</v>
      </c>
      <c r="O31" s="1095"/>
      <c r="P31" s="1095"/>
      <c r="Q31" s="1096"/>
      <c r="S31" s="107"/>
      <c r="T31" s="20"/>
      <c r="U31" s="20"/>
      <c r="V31" s="20"/>
      <c r="W31" s="21"/>
      <c r="X31" s="22"/>
      <c r="Y31" s="107"/>
      <c r="Z31" s="20"/>
      <c r="AA31" s="20"/>
      <c r="AB31" s="20"/>
      <c r="AC31" s="21"/>
    </row>
    <row r="32" spans="1:29" ht="15" customHeight="1" x14ac:dyDescent="0.3">
      <c r="A32" s="25" t="str">
        <f>A18</f>
        <v>BPM</v>
      </c>
      <c r="B32" s="27">
        <v>2020</v>
      </c>
      <c r="C32" s="27">
        <v>2018</v>
      </c>
      <c r="D32" s="1095"/>
      <c r="E32" s="1096"/>
      <c r="F32" s="1098"/>
      <c r="G32" s="383" t="s">
        <v>352</v>
      </c>
      <c r="H32" s="384">
        <v>2020</v>
      </c>
      <c r="I32" s="384">
        <v>2020</v>
      </c>
      <c r="J32" s="1095"/>
      <c r="K32" s="1096"/>
      <c r="L32" s="51"/>
      <c r="M32" s="28" t="str">
        <f>A32</f>
        <v>BPM</v>
      </c>
      <c r="N32" s="27">
        <v>2020</v>
      </c>
      <c r="O32" s="27">
        <v>2020</v>
      </c>
      <c r="P32" s="1095"/>
      <c r="Q32" s="1096"/>
      <c r="S32" s="29"/>
      <c r="T32" s="107"/>
      <c r="U32" s="30"/>
      <c r="V32" s="20"/>
      <c r="W32" s="21"/>
      <c r="X32" s="22"/>
      <c r="Y32" s="29"/>
      <c r="Z32" s="107"/>
      <c r="AA32" s="107"/>
      <c r="AB32" s="20"/>
      <c r="AC32" s="21"/>
    </row>
    <row r="33" spans="1:29" ht="12.75" customHeight="1" x14ac:dyDescent="0.3">
      <c r="A33" s="115">
        <v>30</v>
      </c>
      <c r="B33" s="120">
        <v>-0.06</v>
      </c>
      <c r="C33" s="120">
        <v>0</v>
      </c>
      <c r="D33" s="117">
        <f>0.5*(MAX(B33:C33)-MIN(B33:C33))</f>
        <v>0.03</v>
      </c>
      <c r="E33" s="127">
        <f>18*0.01</f>
        <v>0.18</v>
      </c>
      <c r="F33" s="1098"/>
      <c r="G33" s="115">
        <v>30</v>
      </c>
      <c r="H33" s="120">
        <v>0</v>
      </c>
      <c r="I33" s="120">
        <v>0</v>
      </c>
      <c r="J33" s="117">
        <f>0.5*(MAX(H33:I33)-MIN(H33:I33))</f>
        <v>0</v>
      </c>
      <c r="K33" s="127">
        <f>18*0.01</f>
        <v>0.18</v>
      </c>
      <c r="L33" s="51"/>
      <c r="M33" s="115">
        <v>30</v>
      </c>
      <c r="N33" s="120">
        <v>0</v>
      </c>
      <c r="O33" s="120">
        <v>0</v>
      </c>
      <c r="P33" s="117">
        <f>0.5*(MAX(N33:O33)-MIN(N33:O33))</f>
        <v>0</v>
      </c>
      <c r="Q33" s="127">
        <f>18*0.01</f>
        <v>0.18</v>
      </c>
      <c r="S33" s="38"/>
      <c r="T33" s="39"/>
      <c r="U33" s="40"/>
      <c r="V33" s="41"/>
      <c r="W33" s="42"/>
      <c r="X33" s="22"/>
      <c r="Y33" s="38"/>
      <c r="Z33" s="39"/>
      <c r="AA33" s="42"/>
      <c r="AB33" s="41"/>
      <c r="AC33" s="42"/>
    </row>
    <row r="34" spans="1:29" ht="12.75" customHeight="1" x14ac:dyDescent="0.3">
      <c r="A34" s="115">
        <v>60</v>
      </c>
      <c r="B34" s="120">
        <v>-0.18</v>
      </c>
      <c r="C34" s="120">
        <v>0</v>
      </c>
      <c r="D34" s="117">
        <f>0.5*(MAX(B34:C34)-MIN(B34:C34))</f>
        <v>0.09</v>
      </c>
      <c r="E34" s="127">
        <f>18*0.01</f>
        <v>0.18</v>
      </c>
      <c r="F34" s="1098"/>
      <c r="G34" s="115">
        <v>60</v>
      </c>
      <c r="H34" s="120">
        <v>-0.12</v>
      </c>
      <c r="I34" s="120">
        <v>-0.12</v>
      </c>
      <c r="J34" s="117">
        <f>0.5*(MAX(H34:I34)-MIN(H34:I34))</f>
        <v>0</v>
      </c>
      <c r="K34" s="127">
        <f>18*0.01</f>
        <v>0.18</v>
      </c>
      <c r="L34" s="51"/>
      <c r="M34" s="115">
        <v>60</v>
      </c>
      <c r="N34" s="120">
        <v>-0.12</v>
      </c>
      <c r="O34" s="120">
        <v>-0.12</v>
      </c>
      <c r="P34" s="117">
        <f>0.5*(MAX(N34:O34)-MIN(N34:O34))</f>
        <v>0</v>
      </c>
      <c r="Q34" s="127">
        <f>18*0.01</f>
        <v>0.18</v>
      </c>
      <c r="S34" s="38"/>
      <c r="T34" s="39"/>
      <c r="U34" s="42"/>
      <c r="V34" s="41"/>
      <c r="W34" s="42"/>
      <c r="X34" s="22"/>
      <c r="Y34" s="38"/>
      <c r="Z34" s="39"/>
      <c r="AA34" s="42"/>
      <c r="AB34" s="41"/>
      <c r="AC34" s="42"/>
    </row>
    <row r="35" spans="1:29" ht="12.75" customHeight="1" x14ac:dyDescent="0.3">
      <c r="A35" s="115">
        <v>120</v>
      </c>
      <c r="B35" s="120">
        <v>-0.12</v>
      </c>
      <c r="C35" s="120">
        <v>0</v>
      </c>
      <c r="D35" s="117">
        <f>0.5*(MAX(B35:C35)-MIN(B35:C35))</f>
        <v>0.06</v>
      </c>
      <c r="E35" s="127">
        <f>18*0.01</f>
        <v>0.18</v>
      </c>
      <c r="F35" s="1098"/>
      <c r="G35" s="115">
        <v>120</v>
      </c>
      <c r="H35" s="120">
        <v>-0.12</v>
      </c>
      <c r="I35" s="120">
        <v>-0.12</v>
      </c>
      <c r="J35" s="117">
        <f>0.5*(MAX(H35:I35)-MIN(H35:I35))</f>
        <v>0</v>
      </c>
      <c r="K35" s="127">
        <f>18*0.01</f>
        <v>0.18</v>
      </c>
      <c r="L35" s="51"/>
      <c r="M35" s="115">
        <v>120</v>
      </c>
      <c r="N35" s="120">
        <v>-0.12</v>
      </c>
      <c r="O35" s="120">
        <v>-0.12</v>
      </c>
      <c r="P35" s="117">
        <f>0.5*(MAX(N35:O35)-MIN(N35:O35))</f>
        <v>0</v>
      </c>
      <c r="Q35" s="127">
        <f>18*0.01</f>
        <v>0.18</v>
      </c>
      <c r="S35" s="38"/>
      <c r="T35" s="39"/>
      <c r="U35" s="42"/>
      <c r="V35" s="41"/>
      <c r="W35" s="42"/>
      <c r="X35" s="22"/>
      <c r="Y35" s="38"/>
      <c r="Z35" s="39"/>
      <c r="AA35" s="42"/>
      <c r="AB35" s="41"/>
      <c r="AC35" s="42"/>
    </row>
    <row r="36" spans="1:29" ht="12.75" customHeight="1" thickBot="1" x14ac:dyDescent="0.35">
      <c r="A36" s="121">
        <v>180</v>
      </c>
      <c r="B36" s="122">
        <v>0</v>
      </c>
      <c r="C36" s="122">
        <v>0</v>
      </c>
      <c r="D36" s="123">
        <f>0.5*(MAX(B36:C36)-MIN(B36:C36))</f>
        <v>0</v>
      </c>
      <c r="E36" s="390">
        <f>18*0.01</f>
        <v>0.18</v>
      </c>
      <c r="F36" s="1098"/>
      <c r="G36" s="121">
        <v>180</v>
      </c>
      <c r="H36" s="122">
        <v>0.12</v>
      </c>
      <c r="I36" s="122">
        <v>0.12</v>
      </c>
      <c r="J36" s="123">
        <f>0.5*(MAX(H36:I36)-MIN(H36:I36))</f>
        <v>0</v>
      </c>
      <c r="K36" s="127">
        <f>18*0.01</f>
        <v>0.18</v>
      </c>
      <c r="L36" s="51"/>
      <c r="M36" s="121">
        <v>180</v>
      </c>
      <c r="N36" s="122">
        <v>0.12</v>
      </c>
      <c r="O36" s="122">
        <v>0.12</v>
      </c>
      <c r="P36" s="123">
        <f>0.5*(MAX(N36:O36)-MIN(N36:O36))</f>
        <v>0</v>
      </c>
      <c r="Q36" s="127">
        <f>18*0.01</f>
        <v>0.18</v>
      </c>
      <c r="S36" s="38"/>
      <c r="T36" s="39"/>
      <c r="U36" s="40"/>
      <c r="V36" s="41"/>
      <c r="W36" s="42"/>
      <c r="X36" s="22"/>
      <c r="Y36" s="38"/>
      <c r="Z36" s="39"/>
      <c r="AA36" s="40"/>
      <c r="AB36" s="41"/>
      <c r="AC36" s="42"/>
    </row>
    <row r="37" spans="1:29" ht="12.75" customHeight="1" thickBot="1" x14ac:dyDescent="0.35">
      <c r="A37" s="385">
        <v>240</v>
      </c>
      <c r="B37" s="386">
        <v>-0.06</v>
      </c>
      <c r="C37" s="386">
        <v>0</v>
      </c>
      <c r="D37" s="33">
        <f>0.5*(MAX(B37:C37)-MIN(B37:C37))</f>
        <v>0.03</v>
      </c>
      <c r="E37" s="127">
        <f>18*0.01</f>
        <v>0.18</v>
      </c>
      <c r="F37" s="1098"/>
      <c r="G37" s="385">
        <v>240</v>
      </c>
      <c r="H37" s="386">
        <v>-0.06</v>
      </c>
      <c r="I37" s="386">
        <v>-0.06</v>
      </c>
      <c r="J37" s="33">
        <f>0.5*(MAX(H37:I37)-MIN(H37:I37))</f>
        <v>0</v>
      </c>
      <c r="K37" s="127">
        <f>18*0.01</f>
        <v>0.18</v>
      </c>
      <c r="L37" s="51"/>
      <c r="M37" s="385">
        <v>240</v>
      </c>
      <c r="N37" s="386">
        <v>-0.12</v>
      </c>
      <c r="O37" s="386">
        <v>-0.12</v>
      </c>
      <c r="P37" s="123">
        <f>0.5*(MAX(N37:O37)-MIN(N37:O37))</f>
        <v>0</v>
      </c>
      <c r="Q37" s="127">
        <f>18*0.01</f>
        <v>0.18</v>
      </c>
      <c r="S37" s="38"/>
      <c r="T37" s="39"/>
      <c r="U37" s="40"/>
      <c r="V37" s="41"/>
      <c r="W37" s="42"/>
      <c r="X37" s="22"/>
      <c r="Y37" s="38"/>
      <c r="Z37" s="39"/>
      <c r="AA37" s="40"/>
      <c r="AB37" s="41"/>
      <c r="AC37" s="42"/>
    </row>
    <row r="38" spans="1:29" ht="12.75" customHeight="1" x14ac:dyDescent="0.3">
      <c r="A38" s="35"/>
      <c r="B38" s="36"/>
      <c r="C38" s="54"/>
      <c r="D38" s="33"/>
      <c r="E38" s="34"/>
      <c r="F38" s="1098"/>
      <c r="G38" s="35"/>
      <c r="H38" s="36"/>
      <c r="I38" s="54"/>
      <c r="J38" s="33"/>
      <c r="K38" s="34"/>
      <c r="L38" s="51"/>
      <c r="Q38" s="53"/>
      <c r="S38" s="38"/>
      <c r="T38" s="39"/>
      <c r="U38" s="40"/>
      <c r="V38" s="41"/>
      <c r="W38" s="42"/>
      <c r="X38" s="22"/>
      <c r="Y38" s="38"/>
      <c r="Z38" s="39"/>
      <c r="AA38" s="40"/>
      <c r="AB38" s="41"/>
      <c r="AC38" s="42"/>
    </row>
    <row r="39" spans="1:29" ht="12.75" customHeight="1" x14ac:dyDescent="0.3">
      <c r="A39" s="35"/>
      <c r="B39" s="36"/>
      <c r="C39" s="54"/>
      <c r="D39" s="33"/>
      <c r="E39" s="34"/>
      <c r="F39" s="1098"/>
      <c r="G39" s="35"/>
      <c r="H39" s="36"/>
      <c r="I39" s="54"/>
      <c r="J39" s="33"/>
      <c r="K39" s="34"/>
      <c r="L39" s="51"/>
      <c r="Q39" s="53"/>
      <c r="S39" s="38"/>
      <c r="T39" s="39"/>
      <c r="U39" s="40"/>
      <c r="V39" s="41"/>
      <c r="W39" s="42"/>
      <c r="X39" s="22"/>
      <c r="Y39" s="38"/>
      <c r="Z39" s="39"/>
      <c r="AA39" s="40"/>
      <c r="AB39" s="41"/>
      <c r="AC39" s="42"/>
    </row>
    <row r="40" spans="1:29" ht="13.5" customHeight="1" x14ac:dyDescent="0.3">
      <c r="A40" s="35"/>
      <c r="B40" s="36"/>
      <c r="C40" s="54"/>
      <c r="D40" s="33"/>
      <c r="E40" s="34"/>
      <c r="F40" s="1098"/>
      <c r="G40" s="35"/>
      <c r="H40" s="36"/>
      <c r="I40" s="54"/>
      <c r="J40" s="33"/>
      <c r="K40" s="34"/>
      <c r="L40" s="51"/>
      <c r="Q40" s="53"/>
      <c r="S40" s="38"/>
      <c r="T40" s="39"/>
      <c r="U40" s="40"/>
      <c r="V40" s="41"/>
      <c r="W40" s="42"/>
      <c r="X40" s="22"/>
      <c r="Y40" s="38"/>
      <c r="Z40" s="39"/>
      <c r="AA40" s="40"/>
      <c r="AB40" s="41"/>
      <c r="AC40" s="42"/>
    </row>
    <row r="41" spans="1:29" ht="13.5" customHeight="1" x14ac:dyDescent="0.3">
      <c r="A41" s="35"/>
      <c r="B41" s="36"/>
      <c r="C41" s="54"/>
      <c r="D41" s="33"/>
      <c r="E41" s="34"/>
      <c r="F41" s="1098"/>
      <c r="G41" s="35"/>
      <c r="H41" s="36"/>
      <c r="I41" s="54"/>
      <c r="J41" s="33"/>
      <c r="K41" s="34"/>
      <c r="L41" s="51"/>
      <c r="Q41" s="53"/>
      <c r="S41" s="38"/>
      <c r="T41" s="39"/>
      <c r="U41" s="40"/>
      <c r="V41" s="41"/>
      <c r="W41" s="42"/>
      <c r="X41" s="22"/>
      <c r="Y41" s="38"/>
      <c r="Z41" s="39"/>
      <c r="AA41" s="40"/>
      <c r="AB41" s="41"/>
      <c r="AC41" s="42"/>
    </row>
    <row r="42" spans="1:29" ht="13.5" customHeight="1" x14ac:dyDescent="0.3">
      <c r="A42" s="1112"/>
      <c r="B42" s="1113"/>
      <c r="C42" s="1113"/>
      <c r="D42" s="1113"/>
      <c r="E42" s="1114"/>
      <c r="F42" s="1098"/>
      <c r="G42" s="1128"/>
      <c r="H42" s="1129"/>
      <c r="I42" s="1129"/>
      <c r="J42" s="1129"/>
      <c r="K42" s="1130"/>
      <c r="L42" s="51"/>
      <c r="Q42" s="53"/>
      <c r="S42" s="18"/>
      <c r="T42" s="18"/>
      <c r="U42" s="18"/>
      <c r="V42" s="18"/>
      <c r="W42" s="18"/>
      <c r="X42" s="22"/>
      <c r="Y42" s="14"/>
      <c r="Z42" s="14"/>
      <c r="AA42" s="14"/>
      <c r="AB42" s="14"/>
      <c r="AC42" s="14"/>
    </row>
    <row r="43" spans="1:29" ht="15.75" customHeight="1" x14ac:dyDescent="0.3">
      <c r="A43" s="1100" t="s">
        <v>353</v>
      </c>
      <c r="B43" s="1101"/>
      <c r="C43" s="1102"/>
      <c r="D43" s="1095" t="s">
        <v>272</v>
      </c>
      <c r="E43" s="1096" t="str">
        <f>K30</f>
        <v>U95 STD</v>
      </c>
      <c r="F43" s="1098"/>
      <c r="G43" s="1100" t="s">
        <v>354</v>
      </c>
      <c r="H43" s="1101"/>
      <c r="I43" s="1102"/>
      <c r="J43" s="1095" t="s">
        <v>272</v>
      </c>
      <c r="K43" s="1096" t="str">
        <f>Q30</f>
        <v>U95 STD</v>
      </c>
      <c r="L43" s="51"/>
      <c r="M43" s="1100" t="s">
        <v>355</v>
      </c>
      <c r="N43" s="1101"/>
      <c r="O43" s="1102"/>
      <c r="P43" s="1095" t="s">
        <v>272</v>
      </c>
      <c r="Q43" s="1096" t="str">
        <f>E43</f>
        <v>U95 STD</v>
      </c>
      <c r="S43" s="19"/>
      <c r="T43" s="19"/>
      <c r="U43" s="19"/>
      <c r="V43" s="20"/>
      <c r="W43" s="21"/>
      <c r="X43" s="22"/>
      <c r="Y43" s="19"/>
      <c r="Z43" s="19"/>
      <c r="AA43" s="19"/>
      <c r="AB43" s="20"/>
      <c r="AC43" s="21"/>
    </row>
    <row r="44" spans="1:29" ht="12.75" customHeight="1" x14ac:dyDescent="0.3">
      <c r="A44" s="111" t="str">
        <f>G31</f>
        <v>BPM</v>
      </c>
      <c r="B44" s="1095" t="s">
        <v>271</v>
      </c>
      <c r="C44" s="1095"/>
      <c r="D44" s="1095"/>
      <c r="E44" s="1096"/>
      <c r="F44" s="1098"/>
      <c r="G44" s="111" t="str">
        <f>M31</f>
        <v>ECG</v>
      </c>
      <c r="H44" s="1095" t="s">
        <v>271</v>
      </c>
      <c r="I44" s="1095"/>
      <c r="J44" s="1095"/>
      <c r="K44" s="1096"/>
      <c r="L44" s="51"/>
      <c r="M44" s="111" t="str">
        <f>A44</f>
        <v>BPM</v>
      </c>
      <c r="N44" s="1095" t="s">
        <v>271</v>
      </c>
      <c r="O44" s="1095"/>
      <c r="P44" s="1095"/>
      <c r="Q44" s="1096"/>
      <c r="S44" s="107"/>
      <c r="T44" s="20"/>
      <c r="U44" s="20"/>
      <c r="V44" s="20"/>
      <c r="W44" s="21"/>
      <c r="X44" s="22"/>
      <c r="Y44" s="107"/>
      <c r="Z44" s="20"/>
      <c r="AA44" s="20"/>
      <c r="AB44" s="20"/>
      <c r="AC44" s="21"/>
    </row>
    <row r="45" spans="1:29" ht="15" customHeight="1" x14ac:dyDescent="0.3">
      <c r="A45" s="28" t="str">
        <f>G32</f>
        <v>( BPM )</v>
      </c>
      <c r="B45" s="26">
        <v>2018</v>
      </c>
      <c r="C45" s="27">
        <v>2016</v>
      </c>
      <c r="D45" s="1095"/>
      <c r="E45" s="1096"/>
      <c r="F45" s="1098"/>
      <c r="G45" s="383" t="s">
        <v>352</v>
      </c>
      <c r="H45" s="410">
        <v>2018</v>
      </c>
      <c r="I45" s="410">
        <v>2018</v>
      </c>
      <c r="J45" s="1095"/>
      <c r="K45" s="1096"/>
      <c r="L45" s="51"/>
      <c r="M45" s="28" t="str">
        <f>A45</f>
        <v>( BPM )</v>
      </c>
      <c r="N45" s="26">
        <v>2017</v>
      </c>
      <c r="O45" s="410">
        <v>2015</v>
      </c>
      <c r="P45" s="1095"/>
      <c r="Q45" s="1096"/>
      <c r="S45" s="29"/>
      <c r="T45" s="107"/>
      <c r="U45" s="107"/>
      <c r="V45" s="20"/>
      <c r="W45" s="21"/>
      <c r="X45" s="22"/>
      <c r="Y45" s="29"/>
      <c r="Z45" s="107"/>
      <c r="AA45" s="107"/>
      <c r="AB45" s="20"/>
      <c r="AC45" s="21"/>
    </row>
    <row r="46" spans="1:29" ht="12.75" customHeight="1" x14ac:dyDescent="0.3">
      <c r="A46" s="115">
        <v>30</v>
      </c>
      <c r="B46" s="124">
        <v>0</v>
      </c>
      <c r="C46" s="124">
        <v>0</v>
      </c>
      <c r="D46" s="117">
        <f>0.5*(MAX(B46:C46)-MIN(B46:C46))</f>
        <v>0</v>
      </c>
      <c r="E46" s="389">
        <f>0.36*0.01</f>
        <v>3.5999999999999999E-3</v>
      </c>
      <c r="F46" s="1098"/>
      <c r="G46" s="115">
        <v>30</v>
      </c>
      <c r="H46" s="116">
        <v>0</v>
      </c>
      <c r="I46" s="116">
        <v>0</v>
      </c>
      <c r="J46" s="117">
        <f>0.5*(MAX(H46:I46)-MIN(H46:I46))</f>
        <v>0</v>
      </c>
      <c r="K46" s="389">
        <f>0.36*0.01</f>
        <v>3.5999999999999999E-3</v>
      </c>
      <c r="L46" s="51"/>
      <c r="M46" s="115">
        <v>30</v>
      </c>
      <c r="N46" s="116">
        <v>0</v>
      </c>
      <c r="O46" s="116">
        <v>0</v>
      </c>
      <c r="P46" s="117">
        <f>0.5*(MAX(N46:O46)-MIN(N46:O46))</f>
        <v>0</v>
      </c>
      <c r="Q46" s="389">
        <f>0.36*0.01</f>
        <v>3.5999999999999999E-3</v>
      </c>
      <c r="S46" s="38"/>
      <c r="T46" s="39"/>
      <c r="U46" s="42"/>
      <c r="V46" s="41"/>
      <c r="W46" s="42"/>
      <c r="X46" s="22"/>
      <c r="Y46" s="38"/>
      <c r="Z46" s="39"/>
      <c r="AA46" s="42"/>
      <c r="AB46" s="41"/>
      <c r="AC46" s="42"/>
    </row>
    <row r="47" spans="1:29" ht="12.75" customHeight="1" x14ac:dyDescent="0.3">
      <c r="A47" s="115">
        <v>60</v>
      </c>
      <c r="B47" s="124">
        <v>0</v>
      </c>
      <c r="C47" s="124">
        <v>0</v>
      </c>
      <c r="D47" s="117">
        <f>0.5*(MAX(B47:C47)-MIN(B47:C47))</f>
        <v>0</v>
      </c>
      <c r="E47" s="389">
        <f>0.66*0.01</f>
        <v>6.6000000000000008E-3</v>
      </c>
      <c r="F47" s="1098"/>
      <c r="G47" s="115">
        <v>60</v>
      </c>
      <c r="H47" s="116">
        <v>0</v>
      </c>
      <c r="I47" s="116">
        <v>0</v>
      </c>
      <c r="J47" s="117">
        <f>0.5*(MAX(H47:I47)-MIN(H47:I47))</f>
        <v>0</v>
      </c>
      <c r="K47" s="389">
        <f>0.66*0.01</f>
        <v>6.6000000000000008E-3</v>
      </c>
      <c r="L47" s="51"/>
      <c r="M47" s="115">
        <v>60</v>
      </c>
      <c r="N47" s="116">
        <v>0</v>
      </c>
      <c r="O47" s="116">
        <v>0</v>
      </c>
      <c r="P47" s="117">
        <f>0.5*(MAX(N47:O47)-MIN(N47:O47))</f>
        <v>0</v>
      </c>
      <c r="Q47" s="389">
        <f>0.66*0.01</f>
        <v>6.6000000000000008E-3</v>
      </c>
      <c r="S47" s="38"/>
      <c r="T47" s="39"/>
      <c r="U47" s="42"/>
      <c r="V47" s="41"/>
      <c r="W47" s="42"/>
      <c r="X47" s="22"/>
      <c r="Y47" s="38"/>
      <c r="Z47" s="39"/>
      <c r="AA47" s="42"/>
      <c r="AB47" s="41"/>
      <c r="AC47" s="42"/>
    </row>
    <row r="48" spans="1:29" ht="12.75" customHeight="1" x14ac:dyDescent="0.3">
      <c r="A48" s="115">
        <v>120</v>
      </c>
      <c r="B48" s="124">
        <v>0</v>
      </c>
      <c r="C48" s="124">
        <v>0</v>
      </c>
      <c r="D48" s="117">
        <f>0.5*(MAX(B48:C48)-MIN(B48:C48))</f>
        <v>0</v>
      </c>
      <c r="E48" s="389">
        <f>1.26*0.01</f>
        <v>1.26E-2</v>
      </c>
      <c r="F48" s="1098"/>
      <c r="G48" s="115">
        <v>120</v>
      </c>
      <c r="H48" s="116">
        <v>0</v>
      </c>
      <c r="I48" s="116">
        <v>0</v>
      </c>
      <c r="J48" s="117">
        <f>0.5*(MAX(H48:I48)-MIN(H48:I48))</f>
        <v>0</v>
      </c>
      <c r="K48" s="389">
        <f>1.26*0.01</f>
        <v>1.26E-2</v>
      </c>
      <c r="L48" s="51"/>
      <c r="M48" s="115">
        <v>120</v>
      </c>
      <c r="N48" s="116" t="s">
        <v>243</v>
      </c>
      <c r="O48" s="116" t="s">
        <v>243</v>
      </c>
      <c r="P48" s="117">
        <f>0.5*(MAX(N48:O48)-MIN(N48:O48))</f>
        <v>0</v>
      </c>
      <c r="Q48" s="127" t="s">
        <v>243</v>
      </c>
      <c r="S48" s="38"/>
      <c r="T48" s="39"/>
      <c r="U48" s="42"/>
      <c r="V48" s="41"/>
      <c r="W48" s="42"/>
      <c r="X48" s="22"/>
      <c r="Y48" s="38"/>
      <c r="Z48" s="39"/>
      <c r="AA48" s="42"/>
      <c r="AB48" s="41"/>
      <c r="AC48" s="42"/>
    </row>
    <row r="49" spans="1:29" ht="12.75" customHeight="1" thickBot="1" x14ac:dyDescent="0.35">
      <c r="A49" s="121">
        <v>180</v>
      </c>
      <c r="B49" s="124">
        <v>0</v>
      </c>
      <c r="C49" s="125">
        <v>0</v>
      </c>
      <c r="D49" s="123">
        <f>0.5*(MAX(B49:C49)-MIN(B49:C49))</f>
        <v>0</v>
      </c>
      <c r="E49" s="389">
        <f>1.86*0.01</f>
        <v>1.8600000000000002E-2</v>
      </c>
      <c r="F49" s="1098"/>
      <c r="G49" s="121">
        <v>180</v>
      </c>
      <c r="H49" s="116">
        <v>0</v>
      </c>
      <c r="I49" s="116">
        <v>0</v>
      </c>
      <c r="J49" s="123">
        <f>0.5*(MAX(H49:I49)-MIN(H49:I49))</f>
        <v>0</v>
      </c>
      <c r="K49" s="389">
        <f>1.86*0.01</f>
        <v>1.8600000000000002E-2</v>
      </c>
      <c r="L49" s="51"/>
      <c r="M49" s="121">
        <v>180</v>
      </c>
      <c r="N49" s="128" t="s">
        <v>243</v>
      </c>
      <c r="O49" s="116" t="s">
        <v>243</v>
      </c>
      <c r="P49" s="123">
        <f>0.5*(MAX(N49:O49)-MIN(N49:O49))</f>
        <v>0</v>
      </c>
      <c r="Q49" s="127" t="s">
        <v>243</v>
      </c>
      <c r="S49" s="38"/>
      <c r="T49" s="39"/>
      <c r="U49" s="40"/>
      <c r="V49" s="41"/>
      <c r="W49" s="42"/>
      <c r="X49" s="22"/>
      <c r="Y49" s="38"/>
      <c r="Z49" s="39"/>
      <c r="AA49" s="40"/>
      <c r="AB49" s="41"/>
      <c r="AC49" s="42"/>
    </row>
    <row r="50" spans="1:29" ht="12.75" customHeight="1" thickBot="1" x14ac:dyDescent="0.35">
      <c r="A50" s="385">
        <v>240</v>
      </c>
      <c r="B50" s="124">
        <v>0</v>
      </c>
      <c r="C50" s="125">
        <v>0</v>
      </c>
      <c r="D50" s="123">
        <f>0.5*(MAX(B50:C50)-MIN(B50:C50))</f>
        <v>0</v>
      </c>
      <c r="E50" s="309">
        <f>2.46*0.01</f>
        <v>2.46E-2</v>
      </c>
      <c r="F50" s="1098"/>
      <c r="G50" s="385">
        <v>240</v>
      </c>
      <c r="H50" s="54">
        <v>0</v>
      </c>
      <c r="I50" s="54">
        <v>0</v>
      </c>
      <c r="J50" s="123">
        <f>0.5*(MAX(H50:I50)-MIN(H50:I50))</f>
        <v>0</v>
      </c>
      <c r="K50" s="309">
        <f>2.46*0.01</f>
        <v>2.46E-2</v>
      </c>
      <c r="L50" s="51"/>
      <c r="M50" s="385">
        <v>240</v>
      </c>
      <c r="N50" s="32" t="s">
        <v>243</v>
      </c>
      <c r="O50" s="54" t="s">
        <v>243</v>
      </c>
      <c r="P50" s="123">
        <f>0.5*(MAX(N50:O50)-MIN(N50:O50))</f>
        <v>0</v>
      </c>
      <c r="Q50" s="34" t="s">
        <v>243</v>
      </c>
      <c r="S50" s="38"/>
      <c r="T50" s="39"/>
      <c r="U50" s="40"/>
      <c r="V50" s="41"/>
      <c r="W50" s="42"/>
      <c r="X50" s="22"/>
      <c r="Y50" s="38"/>
      <c r="Z50" s="39"/>
      <c r="AA50" s="40"/>
      <c r="AB50" s="41"/>
      <c r="AC50" s="42"/>
    </row>
    <row r="51" spans="1:29" ht="12.75" customHeight="1" x14ac:dyDescent="0.3">
      <c r="A51" s="35"/>
      <c r="B51" s="36"/>
      <c r="C51" s="31"/>
      <c r="D51" s="33"/>
      <c r="E51" s="34"/>
      <c r="F51" s="1098"/>
      <c r="G51" s="35"/>
      <c r="H51" s="36"/>
      <c r="I51" s="54"/>
      <c r="J51" s="33"/>
      <c r="K51" s="34"/>
      <c r="L51" s="51"/>
      <c r="M51" s="55"/>
      <c r="N51" s="55"/>
      <c r="O51" s="55"/>
      <c r="P51" s="55"/>
      <c r="Q51" s="56"/>
      <c r="S51" s="38"/>
      <c r="T51" s="39"/>
      <c r="U51" s="40"/>
      <c r="V51" s="41"/>
      <c r="W51" s="42"/>
      <c r="X51" s="22"/>
      <c r="Y51" s="38"/>
      <c r="Z51" s="39"/>
      <c r="AA51" s="40"/>
      <c r="AB51" s="41"/>
      <c r="AC51" s="42"/>
    </row>
    <row r="52" spans="1:29" ht="12.75" customHeight="1" x14ac:dyDescent="0.3">
      <c r="A52" s="35"/>
      <c r="B52" s="36"/>
      <c r="C52" s="31"/>
      <c r="D52" s="33"/>
      <c r="E52" s="34"/>
      <c r="F52" s="1098"/>
      <c r="G52" s="35"/>
      <c r="H52" s="36"/>
      <c r="I52" s="54"/>
      <c r="J52" s="33"/>
      <c r="K52" s="34"/>
      <c r="L52" s="51"/>
      <c r="M52" s="55"/>
      <c r="N52" s="55"/>
      <c r="O52" s="55"/>
      <c r="P52" s="55"/>
      <c r="Q52" s="56"/>
      <c r="S52" s="38"/>
      <c r="T52" s="39"/>
      <c r="U52" s="40"/>
      <c r="V52" s="41"/>
      <c r="W52" s="42"/>
      <c r="X52" s="22"/>
      <c r="Y52" s="38"/>
      <c r="Z52" s="39"/>
      <c r="AA52" s="40"/>
      <c r="AB52" s="41"/>
      <c r="AC52" s="42"/>
    </row>
    <row r="53" spans="1:29" ht="13.5" customHeight="1" x14ac:dyDescent="0.3">
      <c r="A53" s="35"/>
      <c r="B53" s="36"/>
      <c r="C53" s="31"/>
      <c r="D53" s="33"/>
      <c r="E53" s="34"/>
      <c r="F53" s="1098"/>
      <c r="G53" s="35"/>
      <c r="H53" s="36"/>
      <c r="I53" s="54"/>
      <c r="J53" s="33"/>
      <c r="K53" s="34"/>
      <c r="L53" s="51"/>
      <c r="M53" s="55"/>
      <c r="N53" s="55"/>
      <c r="O53" s="55"/>
      <c r="P53" s="55"/>
      <c r="Q53" s="56"/>
      <c r="S53" s="38"/>
      <c r="T53" s="39"/>
      <c r="U53" s="40"/>
      <c r="V53" s="41"/>
      <c r="W53" s="42"/>
      <c r="X53" s="22"/>
      <c r="Y53" s="38"/>
      <c r="Z53" s="39"/>
      <c r="AA53" s="40"/>
      <c r="AB53" s="41"/>
      <c r="AC53" s="42"/>
    </row>
    <row r="54" spans="1:29" ht="13.5" customHeight="1" x14ac:dyDescent="0.3">
      <c r="A54" s="35"/>
      <c r="B54" s="36"/>
      <c r="C54" s="31"/>
      <c r="D54" s="33"/>
      <c r="E54" s="34"/>
      <c r="F54" s="1098"/>
      <c r="G54" s="35"/>
      <c r="H54" s="36"/>
      <c r="I54" s="54"/>
      <c r="J54" s="33"/>
      <c r="K54" s="34"/>
      <c r="L54" s="51"/>
      <c r="M54" s="55"/>
      <c r="N54" s="55"/>
      <c r="O54" s="55"/>
      <c r="P54" s="55"/>
      <c r="Q54" s="56"/>
      <c r="S54" s="38"/>
      <c r="T54" s="39"/>
      <c r="U54" s="40"/>
      <c r="V54" s="41"/>
      <c r="W54" s="42"/>
      <c r="X54" s="45"/>
      <c r="Y54" s="38"/>
      <c r="Z54" s="39"/>
      <c r="AA54" s="40"/>
      <c r="AB54" s="41"/>
      <c r="AC54" s="42"/>
    </row>
    <row r="55" spans="1:29" ht="13.5" customHeight="1" thickBot="1" x14ac:dyDescent="0.3">
      <c r="A55" s="1115"/>
      <c r="B55" s="1116"/>
      <c r="C55" s="1116"/>
      <c r="D55" s="1116"/>
      <c r="E55" s="1116"/>
      <c r="F55" s="1116"/>
      <c r="G55" s="1116"/>
      <c r="H55" s="1116"/>
      <c r="I55" s="1116"/>
      <c r="J55" s="1116"/>
      <c r="K55" s="1116"/>
      <c r="L55" s="1116"/>
      <c r="M55" s="1116"/>
      <c r="N55" s="1116"/>
      <c r="O55" s="1116"/>
      <c r="P55" s="1116"/>
      <c r="Q55" s="111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</row>
    <row r="56" spans="1:29" ht="12.75" customHeight="1" x14ac:dyDescent="0.3">
      <c r="A56" s="46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51"/>
      <c r="M56" s="55"/>
      <c r="N56" s="55"/>
      <c r="O56" s="55"/>
      <c r="P56" s="55"/>
      <c r="Q56" s="55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</row>
    <row r="57" spans="1:29" ht="13.5" thickBot="1" x14ac:dyDescent="0.35">
      <c r="A57" s="50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</row>
    <row r="58" spans="1:29" ht="12.75" customHeight="1" x14ac:dyDescent="0.25">
      <c r="A58" s="1118" t="s">
        <v>332</v>
      </c>
      <c r="B58" s="1120"/>
      <c r="C58" s="1122" t="str">
        <f>A4</f>
        <v>ECG</v>
      </c>
      <c r="D58" s="1124" t="s">
        <v>271</v>
      </c>
      <c r="E58" s="1124"/>
      <c r="F58" s="109" t="s">
        <v>272</v>
      </c>
      <c r="G58" s="1122" t="s">
        <v>333</v>
      </c>
      <c r="H58" s="1126"/>
      <c r="I58" s="16"/>
      <c r="J58" s="1118" t="str">
        <f>A58</f>
        <v>No Urut Titik Ukur</v>
      </c>
      <c r="K58" s="1120"/>
      <c r="L58" s="1122" t="s">
        <v>330</v>
      </c>
      <c r="M58" s="1124" t="s">
        <v>271</v>
      </c>
      <c r="N58" s="1124"/>
      <c r="O58" s="109" t="s">
        <v>272</v>
      </c>
      <c r="P58" s="1122" t="s">
        <v>333</v>
      </c>
      <c r="Q58" s="1126"/>
    </row>
    <row r="59" spans="1:29" ht="12.75" customHeight="1" x14ac:dyDescent="0.25">
      <c r="A59" s="1119"/>
      <c r="B59" s="1121"/>
      <c r="C59" s="1123"/>
      <c r="D59" s="1125"/>
      <c r="E59" s="1125"/>
      <c r="F59" s="110"/>
      <c r="G59" s="1123"/>
      <c r="H59" s="1127"/>
      <c r="J59" s="1119"/>
      <c r="K59" s="1121"/>
      <c r="L59" s="1123"/>
      <c r="M59" s="1125"/>
      <c r="N59" s="1125"/>
      <c r="O59" s="110"/>
      <c r="P59" s="1123"/>
      <c r="Q59" s="1127"/>
    </row>
    <row r="60" spans="1:29" ht="14.5" thickBot="1" x14ac:dyDescent="0.3">
      <c r="A60" s="1119"/>
      <c r="B60" s="1121"/>
      <c r="C60" s="57" t="str">
        <f>A5</f>
        <v>BPM</v>
      </c>
      <c r="D60" s="110"/>
      <c r="E60" s="110"/>
      <c r="F60" s="110"/>
      <c r="G60" s="1123"/>
      <c r="H60" s="1127"/>
      <c r="J60" s="1119"/>
      <c r="K60" s="1121"/>
      <c r="L60" s="57" t="s">
        <v>331</v>
      </c>
      <c r="M60" s="110"/>
      <c r="N60" s="110"/>
      <c r="O60" s="110"/>
      <c r="P60" s="1123"/>
      <c r="Q60" s="1127"/>
    </row>
    <row r="61" spans="1:29" ht="12.75" customHeight="1" x14ac:dyDescent="0.25">
      <c r="A61" s="1075" t="s">
        <v>50</v>
      </c>
      <c r="B61" s="58">
        <v>1</v>
      </c>
      <c r="C61" s="59">
        <f>A6</f>
        <v>30</v>
      </c>
      <c r="D61" s="59">
        <f>B6</f>
        <v>0</v>
      </c>
      <c r="E61" s="59">
        <f>C6</f>
        <v>0</v>
      </c>
      <c r="F61" s="59">
        <f>D6</f>
        <v>0</v>
      </c>
      <c r="G61" s="59">
        <f>E6</f>
        <v>0.18</v>
      </c>
      <c r="H61" s="1087"/>
      <c r="J61" s="1079" t="s">
        <v>55</v>
      </c>
      <c r="K61" s="60">
        <v>1</v>
      </c>
      <c r="L61" s="61">
        <f>A11</f>
        <v>0</v>
      </c>
      <c r="M61" s="61">
        <f>B11</f>
        <v>0</v>
      </c>
      <c r="N61" s="61">
        <f>C11</f>
        <v>0</v>
      </c>
      <c r="O61" s="61">
        <f>D11</f>
        <v>0</v>
      </c>
      <c r="P61" s="61">
        <f>E11</f>
        <v>0</v>
      </c>
      <c r="Q61" s="108"/>
    </row>
    <row r="62" spans="1:29" ht="13" x14ac:dyDescent="0.25">
      <c r="A62" s="1076"/>
      <c r="B62" s="58">
        <v>2</v>
      </c>
      <c r="C62" s="59">
        <f>G6</f>
        <v>30</v>
      </c>
      <c r="D62" s="59">
        <f>H6</f>
        <v>0</v>
      </c>
      <c r="E62" s="59">
        <f>I6</f>
        <v>0</v>
      </c>
      <c r="F62" s="59">
        <f>J6</f>
        <v>0</v>
      </c>
      <c r="G62" s="59">
        <f>K6</f>
        <v>1.8600000000000002E-2</v>
      </c>
      <c r="H62" s="1087"/>
      <c r="J62" s="1080"/>
      <c r="K62" s="58">
        <v>2</v>
      </c>
      <c r="L62" s="59">
        <f>G11</f>
        <v>0</v>
      </c>
      <c r="M62" s="59">
        <f>H11</f>
        <v>0</v>
      </c>
      <c r="N62" s="59">
        <f>I11</f>
        <v>0</v>
      </c>
      <c r="O62" s="59">
        <f>J11</f>
        <v>0</v>
      </c>
      <c r="P62" s="59">
        <f>K11</f>
        <v>0</v>
      </c>
      <c r="Q62" s="106"/>
    </row>
    <row r="63" spans="1:29" ht="13" x14ac:dyDescent="0.25">
      <c r="A63" s="1076"/>
      <c r="B63" s="58">
        <v>3</v>
      </c>
      <c r="C63" s="59">
        <f>M6</f>
        <v>30</v>
      </c>
      <c r="D63" s="59">
        <f>N6</f>
        <v>0</v>
      </c>
      <c r="E63" s="59">
        <f>O6</f>
        <v>-0.01</v>
      </c>
      <c r="F63" s="59">
        <f>P6</f>
        <v>5.0000000000000001E-3</v>
      </c>
      <c r="G63" s="59">
        <f>Q6</f>
        <v>1.8600000000000002E-2</v>
      </c>
      <c r="H63" s="1087"/>
      <c r="J63" s="1080"/>
      <c r="K63" s="58">
        <v>3</v>
      </c>
      <c r="L63" s="59">
        <f>M11</f>
        <v>0</v>
      </c>
      <c r="M63" s="59">
        <f>N11</f>
        <v>0</v>
      </c>
      <c r="N63" s="59">
        <f>O11</f>
        <v>0</v>
      </c>
      <c r="O63" s="59">
        <f>P11</f>
        <v>0</v>
      </c>
      <c r="P63" s="59">
        <f>Q11</f>
        <v>0</v>
      </c>
      <c r="Q63" s="106"/>
    </row>
    <row r="64" spans="1:29" ht="13" x14ac:dyDescent="0.25">
      <c r="A64" s="1076"/>
      <c r="B64" s="58">
        <v>4</v>
      </c>
      <c r="C64" s="59">
        <f>A19</f>
        <v>30</v>
      </c>
      <c r="D64" s="59">
        <f>B19</f>
        <v>0</v>
      </c>
      <c r="E64" s="59">
        <f>C19</f>
        <v>0</v>
      </c>
      <c r="F64" s="59">
        <f>D19</f>
        <v>0</v>
      </c>
      <c r="G64" s="59">
        <f>E19</f>
        <v>1.8600000000000002E-2</v>
      </c>
      <c r="H64" s="1087"/>
      <c r="J64" s="1080"/>
      <c r="K64" s="58">
        <v>4</v>
      </c>
      <c r="L64" s="59">
        <f>A24</f>
        <v>0</v>
      </c>
      <c r="M64" s="59">
        <f>B24</f>
        <v>0</v>
      </c>
      <c r="N64" s="59">
        <f>C24</f>
        <v>0</v>
      </c>
      <c r="O64" s="59">
        <f>D24</f>
        <v>0</v>
      </c>
      <c r="P64" s="59">
        <f>E24</f>
        <v>0</v>
      </c>
      <c r="Q64" s="106"/>
    </row>
    <row r="65" spans="1:17" ht="13" x14ac:dyDescent="0.25">
      <c r="A65" s="1076"/>
      <c r="B65" s="58">
        <v>5</v>
      </c>
      <c r="C65" s="59">
        <f>G19</f>
        <v>30</v>
      </c>
      <c r="D65" s="59">
        <f>H19</f>
        <v>0</v>
      </c>
      <c r="E65" s="59">
        <f>I19</f>
        <v>0</v>
      </c>
      <c r="F65" s="59" t="str">
        <f>J19</f>
        <v>-</v>
      </c>
      <c r="G65" s="59">
        <f>K19</f>
        <v>0.18</v>
      </c>
      <c r="H65" s="62"/>
      <c r="J65" s="1080"/>
      <c r="K65" s="58">
        <v>5</v>
      </c>
      <c r="L65" s="59">
        <f>G24</f>
        <v>0</v>
      </c>
      <c r="M65" s="59">
        <f>H24</f>
        <v>0</v>
      </c>
      <c r="N65" s="59">
        <f>I24</f>
        <v>0</v>
      </c>
      <c r="O65" s="59">
        <f>J24</f>
        <v>0</v>
      </c>
      <c r="P65" s="59">
        <f>K24</f>
        <v>0</v>
      </c>
      <c r="Q65" s="62"/>
    </row>
    <row r="66" spans="1:17" ht="13" x14ac:dyDescent="0.25">
      <c r="A66" s="1076"/>
      <c r="B66" s="58">
        <v>6</v>
      </c>
      <c r="C66" s="59">
        <f>M19</f>
        <v>30</v>
      </c>
      <c r="D66" s="59">
        <f>N19</f>
        <v>0</v>
      </c>
      <c r="E66" s="59">
        <f>O19</f>
        <v>0</v>
      </c>
      <c r="F66" s="59">
        <f>P19</f>
        <v>0</v>
      </c>
      <c r="G66" s="59">
        <f>Q19</f>
        <v>0.18</v>
      </c>
      <c r="H66" s="1087"/>
      <c r="J66" s="1080"/>
      <c r="K66" s="58">
        <v>6</v>
      </c>
      <c r="L66" s="59">
        <f>M24</f>
        <v>0</v>
      </c>
      <c r="M66" s="59">
        <f>N24</f>
        <v>0</v>
      </c>
      <c r="N66" s="59">
        <f>O24</f>
        <v>0</v>
      </c>
      <c r="O66" s="59">
        <f>P24</f>
        <v>0</v>
      </c>
      <c r="P66" s="59">
        <f>Q24</f>
        <v>0</v>
      </c>
      <c r="Q66" s="106"/>
    </row>
    <row r="67" spans="1:17" ht="13" x14ac:dyDescent="0.25">
      <c r="A67" s="1076"/>
      <c r="B67" s="58">
        <v>7</v>
      </c>
      <c r="C67" s="59">
        <f>A33</f>
        <v>30</v>
      </c>
      <c r="D67" s="59">
        <f>B33</f>
        <v>-0.06</v>
      </c>
      <c r="E67" s="59">
        <f>C33</f>
        <v>0</v>
      </c>
      <c r="F67" s="59">
        <f>D33</f>
        <v>0.03</v>
      </c>
      <c r="G67" s="59">
        <f>E33</f>
        <v>0.18</v>
      </c>
      <c r="H67" s="1087"/>
      <c r="J67" s="1080"/>
      <c r="K67" s="58">
        <v>7</v>
      </c>
      <c r="L67" s="59">
        <f>A38</f>
        <v>0</v>
      </c>
      <c r="M67" s="59">
        <f>B38</f>
        <v>0</v>
      </c>
      <c r="N67" s="59">
        <f>C38</f>
        <v>0</v>
      </c>
      <c r="O67" s="59">
        <f>D38</f>
        <v>0</v>
      </c>
      <c r="P67" s="59">
        <f>E38</f>
        <v>0</v>
      </c>
      <c r="Q67" s="106"/>
    </row>
    <row r="68" spans="1:17" ht="13" x14ac:dyDescent="0.25">
      <c r="A68" s="1076"/>
      <c r="B68" s="58">
        <v>8</v>
      </c>
      <c r="C68" s="59">
        <f>G33</f>
        <v>30</v>
      </c>
      <c r="D68" s="59">
        <f>H33</f>
        <v>0</v>
      </c>
      <c r="E68" s="59">
        <f>I33</f>
        <v>0</v>
      </c>
      <c r="F68" s="59">
        <f>J33</f>
        <v>0</v>
      </c>
      <c r="G68" s="59">
        <f>K33</f>
        <v>0.18</v>
      </c>
      <c r="H68" s="1087"/>
      <c r="J68" s="1080"/>
      <c r="K68" s="58">
        <v>8</v>
      </c>
      <c r="L68" s="59">
        <f>G38</f>
        <v>0</v>
      </c>
      <c r="M68" s="59">
        <f>H38</f>
        <v>0</v>
      </c>
      <c r="N68" s="59">
        <f>I38</f>
        <v>0</v>
      </c>
      <c r="O68" s="59">
        <f>J38</f>
        <v>0</v>
      </c>
      <c r="P68" s="59">
        <f>K38</f>
        <v>0</v>
      </c>
      <c r="Q68" s="106"/>
    </row>
    <row r="69" spans="1:17" ht="13" x14ac:dyDescent="0.25">
      <c r="A69" s="1076"/>
      <c r="B69" s="58">
        <v>9</v>
      </c>
      <c r="C69" s="59">
        <f>M33</f>
        <v>30</v>
      </c>
      <c r="D69" s="59">
        <f>N33</f>
        <v>0</v>
      </c>
      <c r="E69" s="59">
        <f>O33</f>
        <v>0</v>
      </c>
      <c r="F69" s="59">
        <f>P33</f>
        <v>0</v>
      </c>
      <c r="G69" s="59">
        <f>Q33</f>
        <v>0.18</v>
      </c>
      <c r="H69" s="1087"/>
      <c r="J69" s="1080"/>
      <c r="K69" s="58">
        <v>9</v>
      </c>
      <c r="L69" s="59">
        <f>A51</f>
        <v>0</v>
      </c>
      <c r="M69" s="59">
        <f>B51</f>
        <v>0</v>
      </c>
      <c r="N69" s="59">
        <f>C51</f>
        <v>0</v>
      </c>
      <c r="O69" s="59">
        <f>D51</f>
        <v>0</v>
      </c>
      <c r="P69" s="59">
        <f>E51</f>
        <v>0</v>
      </c>
      <c r="Q69" s="106"/>
    </row>
    <row r="70" spans="1:17" ht="13" x14ac:dyDescent="0.25">
      <c r="A70" s="1076"/>
      <c r="B70" s="58">
        <v>10</v>
      </c>
      <c r="C70" s="59">
        <f>A46</f>
        <v>30</v>
      </c>
      <c r="D70" s="59">
        <f>B46</f>
        <v>0</v>
      </c>
      <c r="E70" s="59">
        <f>C46</f>
        <v>0</v>
      </c>
      <c r="F70" s="59">
        <f>D46</f>
        <v>0</v>
      </c>
      <c r="G70" s="59">
        <f>E46</f>
        <v>3.5999999999999999E-3</v>
      </c>
      <c r="H70" s="106"/>
      <c r="J70" s="1080"/>
      <c r="K70" s="58">
        <v>10</v>
      </c>
      <c r="L70" s="59">
        <f>G51</f>
        <v>0</v>
      </c>
      <c r="M70" s="59">
        <f>H51</f>
        <v>0</v>
      </c>
      <c r="N70" s="59">
        <f>I51</f>
        <v>0</v>
      </c>
      <c r="O70" s="59">
        <f>J51</f>
        <v>0</v>
      </c>
      <c r="P70" s="59">
        <f>K51</f>
        <v>0</v>
      </c>
      <c r="Q70" s="106"/>
    </row>
    <row r="71" spans="1:17" ht="13" x14ac:dyDescent="0.25">
      <c r="A71" s="1076"/>
      <c r="B71" s="293">
        <v>11</v>
      </c>
      <c r="C71" s="294">
        <f>G46</f>
        <v>30</v>
      </c>
      <c r="D71" s="294">
        <f>H46</f>
        <v>0</v>
      </c>
      <c r="E71" s="294">
        <f>I46</f>
        <v>0</v>
      </c>
      <c r="F71" s="294">
        <f>J46</f>
        <v>0</v>
      </c>
      <c r="G71" s="294">
        <f>K46</f>
        <v>3.5999999999999999E-3</v>
      </c>
      <c r="H71" s="411"/>
      <c r="J71" s="1080"/>
      <c r="K71" s="293">
        <v>11</v>
      </c>
      <c r="L71" s="294"/>
      <c r="M71" s="294"/>
      <c r="N71" s="294"/>
      <c r="O71" s="294"/>
      <c r="P71" s="294"/>
      <c r="Q71" s="411"/>
    </row>
    <row r="72" spans="1:17" ht="13.5" thickBot="1" x14ac:dyDescent="0.3">
      <c r="A72" s="1077"/>
      <c r="B72" s="293">
        <v>12</v>
      </c>
      <c r="C72" s="294">
        <f>M46</f>
        <v>30</v>
      </c>
      <c r="D72" s="294">
        <f>N46</f>
        <v>0</v>
      </c>
      <c r="E72" s="294">
        <f>O46</f>
        <v>0</v>
      </c>
      <c r="F72" s="294">
        <f>P46</f>
        <v>0</v>
      </c>
      <c r="G72" s="294">
        <f>Q46</f>
        <v>3.5999999999999999E-3</v>
      </c>
      <c r="H72" s="411"/>
      <c r="J72" s="1083"/>
      <c r="K72" s="293">
        <v>12</v>
      </c>
      <c r="L72" s="294"/>
      <c r="M72" s="294"/>
      <c r="N72" s="294"/>
      <c r="O72" s="294"/>
      <c r="P72" s="294"/>
      <c r="Q72" s="411"/>
    </row>
    <row r="73" spans="1:17" ht="13" x14ac:dyDescent="0.25">
      <c r="A73" s="1078" t="s">
        <v>51</v>
      </c>
      <c r="B73" s="60">
        <v>1</v>
      </c>
      <c r="C73" s="61">
        <f>A7</f>
        <v>60</v>
      </c>
      <c r="D73" s="61">
        <f>B7</f>
        <v>-0.18</v>
      </c>
      <c r="E73" s="61">
        <f>C7</f>
        <v>0</v>
      </c>
      <c r="F73" s="61">
        <f>D7</f>
        <v>0.09</v>
      </c>
      <c r="G73" s="61">
        <f>E7</f>
        <v>0.18</v>
      </c>
      <c r="H73" s="1088"/>
      <c r="J73" s="1079" t="s">
        <v>335</v>
      </c>
      <c r="K73" s="60">
        <v>1</v>
      </c>
      <c r="L73" s="61">
        <f>A12</f>
        <v>0</v>
      </c>
      <c r="M73" s="61">
        <f>B12</f>
        <v>0</v>
      </c>
      <c r="N73" s="61">
        <f>C12</f>
        <v>0</v>
      </c>
      <c r="O73" s="61">
        <f>D12</f>
        <v>0</v>
      </c>
      <c r="P73" s="61">
        <f>E12</f>
        <v>0</v>
      </c>
      <c r="Q73" s="108"/>
    </row>
    <row r="74" spans="1:17" ht="13" x14ac:dyDescent="0.25">
      <c r="A74" s="1076"/>
      <c r="B74" s="58">
        <v>2</v>
      </c>
      <c r="C74" s="59">
        <f>G7</f>
        <v>60</v>
      </c>
      <c r="D74" s="59">
        <f>H7</f>
        <v>0</v>
      </c>
      <c r="E74" s="59">
        <f>I7</f>
        <v>0</v>
      </c>
      <c r="F74" s="59">
        <f>J7</f>
        <v>0</v>
      </c>
      <c r="G74" s="59">
        <f>K7</f>
        <v>3.6600000000000001E-2</v>
      </c>
      <c r="H74" s="1087"/>
      <c r="J74" s="1080"/>
      <c r="K74" s="58">
        <v>2</v>
      </c>
      <c r="L74" s="59">
        <f>G12</f>
        <v>0</v>
      </c>
      <c r="M74" s="59">
        <f>H12</f>
        <v>0</v>
      </c>
      <c r="N74" s="59">
        <f>I12</f>
        <v>0</v>
      </c>
      <c r="O74" s="59">
        <f>J12</f>
        <v>0</v>
      </c>
      <c r="P74" s="59">
        <f>K12</f>
        <v>0</v>
      </c>
      <c r="Q74" s="106"/>
    </row>
    <row r="75" spans="1:17" ht="13" x14ac:dyDescent="0.25">
      <c r="A75" s="1076"/>
      <c r="B75" s="58">
        <v>3</v>
      </c>
      <c r="C75" s="59">
        <f>M7</f>
        <v>60</v>
      </c>
      <c r="D75" s="59">
        <f>N7</f>
        <v>0</v>
      </c>
      <c r="E75" s="59">
        <f>O7</f>
        <v>-0.03</v>
      </c>
      <c r="F75" s="59">
        <f>P7</f>
        <v>1.4999999999999999E-2</v>
      </c>
      <c r="G75" s="59">
        <f>Q7</f>
        <v>3.6600000000000001E-2</v>
      </c>
      <c r="H75" s="1087"/>
      <c r="J75" s="1080"/>
      <c r="K75" s="58">
        <v>3</v>
      </c>
      <c r="L75" s="59">
        <f>M12</f>
        <v>0</v>
      </c>
      <c r="M75" s="59">
        <f>N12</f>
        <v>0</v>
      </c>
      <c r="N75" s="59">
        <f>O12</f>
        <v>0</v>
      </c>
      <c r="O75" s="59">
        <f>P12</f>
        <v>0</v>
      </c>
      <c r="P75" s="59">
        <f>Q12</f>
        <v>0</v>
      </c>
      <c r="Q75" s="106"/>
    </row>
    <row r="76" spans="1:17" ht="13" x14ac:dyDescent="0.25">
      <c r="A76" s="1076"/>
      <c r="B76" s="58">
        <v>4</v>
      </c>
      <c r="C76" s="59">
        <f>A20</f>
        <v>60</v>
      </c>
      <c r="D76" s="59">
        <f>B20</f>
        <v>0</v>
      </c>
      <c r="E76" s="59">
        <f>C20</f>
        <v>0</v>
      </c>
      <c r="F76" s="59">
        <f>D20</f>
        <v>0</v>
      </c>
      <c r="G76" s="59">
        <f>E20</f>
        <v>3.6600000000000001E-2</v>
      </c>
      <c r="H76" s="1087"/>
      <c r="J76" s="1080"/>
      <c r="K76" s="58">
        <v>4</v>
      </c>
      <c r="L76" s="59">
        <f>A25</f>
        <v>0</v>
      </c>
      <c r="M76" s="59">
        <f>B25</f>
        <v>0</v>
      </c>
      <c r="N76" s="59">
        <f>C25</f>
        <v>0</v>
      </c>
      <c r="O76" s="59">
        <f>D25</f>
        <v>0</v>
      </c>
      <c r="P76" s="59">
        <f>E25</f>
        <v>0</v>
      </c>
      <c r="Q76" s="106"/>
    </row>
    <row r="77" spans="1:17" ht="13" x14ac:dyDescent="0.25">
      <c r="A77" s="1076"/>
      <c r="B77" s="58">
        <v>5</v>
      </c>
      <c r="C77" s="59">
        <f>G20</f>
        <v>60</v>
      </c>
      <c r="D77" s="59">
        <f>H20</f>
        <v>-0.12</v>
      </c>
      <c r="E77" s="59">
        <f>I20</f>
        <v>0</v>
      </c>
      <c r="F77" s="59" t="str">
        <f>J20</f>
        <v>-</v>
      </c>
      <c r="G77" s="59">
        <f>K20</f>
        <v>0.18</v>
      </c>
      <c r="H77" s="62"/>
      <c r="J77" s="1080"/>
      <c r="K77" s="58">
        <v>5</v>
      </c>
      <c r="L77" s="59">
        <f>G25</f>
        <v>0</v>
      </c>
      <c r="M77" s="59">
        <f>H25</f>
        <v>0</v>
      </c>
      <c r="N77" s="59">
        <f>I25</f>
        <v>0</v>
      </c>
      <c r="O77" s="59">
        <f>J25</f>
        <v>0</v>
      </c>
      <c r="P77" s="59">
        <f>K25</f>
        <v>0</v>
      </c>
      <c r="Q77" s="62"/>
    </row>
    <row r="78" spans="1:17" ht="13" x14ac:dyDescent="0.25">
      <c r="A78" s="1076"/>
      <c r="B78" s="58">
        <v>6</v>
      </c>
      <c r="C78" s="59">
        <f>M20</f>
        <v>60</v>
      </c>
      <c r="D78" s="59">
        <f>N20</f>
        <v>-0.12</v>
      </c>
      <c r="E78" s="59">
        <f>O20</f>
        <v>0</v>
      </c>
      <c r="F78" s="59">
        <f>P20</f>
        <v>0.06</v>
      </c>
      <c r="G78" s="59">
        <f>Q20</f>
        <v>0.18</v>
      </c>
      <c r="H78" s="1087"/>
      <c r="J78" s="1080"/>
      <c r="K78" s="58">
        <v>6</v>
      </c>
      <c r="L78" s="59">
        <f>M25</f>
        <v>0</v>
      </c>
      <c r="M78" s="59">
        <f>N25</f>
        <v>0</v>
      </c>
      <c r="N78" s="59">
        <f>O25</f>
        <v>0</v>
      </c>
      <c r="O78" s="59">
        <f>P25</f>
        <v>0</v>
      </c>
      <c r="P78" s="59">
        <f>Q25</f>
        <v>0</v>
      </c>
      <c r="Q78" s="106"/>
    </row>
    <row r="79" spans="1:17" ht="13" x14ac:dyDescent="0.25">
      <c r="A79" s="1076"/>
      <c r="B79" s="58">
        <v>7</v>
      </c>
      <c r="C79" s="59">
        <f>A34</f>
        <v>60</v>
      </c>
      <c r="D79" s="59">
        <f>B34</f>
        <v>-0.18</v>
      </c>
      <c r="E79" s="59">
        <f>C34</f>
        <v>0</v>
      </c>
      <c r="F79" s="59">
        <f>D34</f>
        <v>0.09</v>
      </c>
      <c r="G79" s="59">
        <f>E34</f>
        <v>0.18</v>
      </c>
      <c r="H79" s="1087"/>
      <c r="J79" s="1080"/>
      <c r="K79" s="58">
        <v>7</v>
      </c>
      <c r="L79" s="59">
        <f>A39</f>
        <v>0</v>
      </c>
      <c r="M79" s="59">
        <f>B39</f>
        <v>0</v>
      </c>
      <c r="N79" s="59">
        <f>C39</f>
        <v>0</v>
      </c>
      <c r="O79" s="59">
        <f>D39</f>
        <v>0</v>
      </c>
      <c r="P79" s="59">
        <f>E39</f>
        <v>0</v>
      </c>
      <c r="Q79" s="106"/>
    </row>
    <row r="80" spans="1:17" ht="13" x14ac:dyDescent="0.25">
      <c r="A80" s="1076"/>
      <c r="B80" s="58">
        <v>8</v>
      </c>
      <c r="C80" s="59">
        <f>G34</f>
        <v>60</v>
      </c>
      <c r="D80" s="59">
        <f>H34</f>
        <v>-0.12</v>
      </c>
      <c r="E80" s="59">
        <f>I34</f>
        <v>-0.12</v>
      </c>
      <c r="F80" s="59">
        <f>J34</f>
        <v>0</v>
      </c>
      <c r="G80" s="59">
        <f>K34</f>
        <v>0.18</v>
      </c>
      <c r="H80" s="1087"/>
      <c r="J80" s="1080"/>
      <c r="K80" s="58">
        <v>8</v>
      </c>
      <c r="L80" s="59">
        <f>G39</f>
        <v>0</v>
      </c>
      <c r="M80" s="59">
        <f>H39</f>
        <v>0</v>
      </c>
      <c r="N80" s="59">
        <f>I39</f>
        <v>0</v>
      </c>
      <c r="O80" s="59">
        <f>J39</f>
        <v>0</v>
      </c>
      <c r="P80" s="59">
        <f>K39</f>
        <v>0</v>
      </c>
      <c r="Q80" s="106"/>
    </row>
    <row r="81" spans="1:17" ht="13" x14ac:dyDescent="0.25">
      <c r="A81" s="1076"/>
      <c r="B81" s="58">
        <v>9</v>
      </c>
      <c r="C81" s="59">
        <f>M34</f>
        <v>60</v>
      </c>
      <c r="D81" s="59">
        <f>N34</f>
        <v>-0.12</v>
      </c>
      <c r="E81" s="59">
        <f>O34</f>
        <v>-0.12</v>
      </c>
      <c r="F81" s="59">
        <f>P34</f>
        <v>0</v>
      </c>
      <c r="G81" s="59">
        <f>Q34</f>
        <v>0.18</v>
      </c>
      <c r="H81" s="1087"/>
      <c r="J81" s="1080"/>
      <c r="K81" s="58">
        <v>9</v>
      </c>
      <c r="L81" s="59">
        <f>A52</f>
        <v>0</v>
      </c>
      <c r="M81" s="59">
        <f>B52</f>
        <v>0</v>
      </c>
      <c r="N81" s="59">
        <f>C52</f>
        <v>0</v>
      </c>
      <c r="O81" s="59">
        <f>D52</f>
        <v>0</v>
      </c>
      <c r="P81" s="59">
        <f>E52</f>
        <v>0</v>
      </c>
      <c r="Q81" s="106"/>
    </row>
    <row r="82" spans="1:17" ht="13" x14ac:dyDescent="0.25">
      <c r="A82" s="1076"/>
      <c r="B82" s="58">
        <v>10</v>
      </c>
      <c r="C82" s="59">
        <f>A47</f>
        <v>60</v>
      </c>
      <c r="D82" s="59">
        <f>AH47</f>
        <v>0</v>
      </c>
      <c r="E82" s="59">
        <f>AI47</f>
        <v>0</v>
      </c>
      <c r="F82" s="59">
        <f>AJ47</f>
        <v>0</v>
      </c>
      <c r="G82" s="59">
        <f>AK47</f>
        <v>0</v>
      </c>
      <c r="H82" s="106"/>
      <c r="J82" s="1080"/>
      <c r="K82" s="58">
        <v>10</v>
      </c>
      <c r="L82" s="59">
        <f>G52</f>
        <v>0</v>
      </c>
      <c r="M82" s="59">
        <f>H52</f>
        <v>0</v>
      </c>
      <c r="N82" s="59">
        <f>I52</f>
        <v>0</v>
      </c>
      <c r="O82" s="59">
        <f>J52</f>
        <v>0</v>
      </c>
      <c r="P82" s="59">
        <f>K52</f>
        <v>0</v>
      </c>
      <c r="Q82" s="106"/>
    </row>
    <row r="83" spans="1:17" ht="13" x14ac:dyDescent="0.25">
      <c r="A83" s="1076"/>
      <c r="B83" s="293">
        <v>11</v>
      </c>
      <c r="C83" s="294">
        <f>G47</f>
        <v>60</v>
      </c>
      <c r="D83" s="294">
        <f>H47</f>
        <v>0</v>
      </c>
      <c r="E83" s="294">
        <f>I47</f>
        <v>0</v>
      </c>
      <c r="F83" s="294">
        <f>J47</f>
        <v>0</v>
      </c>
      <c r="G83" s="294">
        <f>K47</f>
        <v>6.6000000000000008E-3</v>
      </c>
      <c r="H83" s="411"/>
      <c r="J83" s="1080"/>
      <c r="K83" s="293">
        <v>11</v>
      </c>
      <c r="L83" s="294"/>
      <c r="M83" s="294"/>
      <c r="N83" s="294"/>
      <c r="O83" s="294"/>
      <c r="P83" s="294"/>
      <c r="Q83" s="411"/>
    </row>
    <row r="84" spans="1:17" ht="13.5" thickBot="1" x14ac:dyDescent="0.3">
      <c r="A84" s="1077"/>
      <c r="B84" s="293">
        <v>12</v>
      </c>
      <c r="C84" s="294">
        <f>M47</f>
        <v>60</v>
      </c>
      <c r="D84" s="294">
        <f>N47</f>
        <v>0</v>
      </c>
      <c r="E84" s="294">
        <f>O47</f>
        <v>0</v>
      </c>
      <c r="F84" s="294">
        <f>P47</f>
        <v>0</v>
      </c>
      <c r="G84" s="294">
        <f>Q47</f>
        <v>6.6000000000000008E-3</v>
      </c>
      <c r="H84" s="411"/>
      <c r="J84" s="1083"/>
      <c r="K84" s="293">
        <v>12</v>
      </c>
      <c r="L84" s="294"/>
      <c r="M84" s="294"/>
      <c r="N84" s="294"/>
      <c r="O84" s="294"/>
      <c r="P84" s="294"/>
      <c r="Q84" s="411"/>
    </row>
    <row r="85" spans="1:17" ht="13" x14ac:dyDescent="0.25">
      <c r="A85" s="1078" t="s">
        <v>52</v>
      </c>
      <c r="B85" s="60">
        <v>1</v>
      </c>
      <c r="C85" s="61">
        <f>A8</f>
        <v>120</v>
      </c>
      <c r="D85" s="61">
        <f>B8</f>
        <v>-0.18</v>
      </c>
      <c r="E85" s="61">
        <f>C8</f>
        <v>0</v>
      </c>
      <c r="F85" s="61">
        <f>D8</f>
        <v>0.09</v>
      </c>
      <c r="G85" s="61">
        <f>E8</f>
        <v>0.18</v>
      </c>
      <c r="H85" s="1088"/>
      <c r="J85" s="1079" t="s">
        <v>336</v>
      </c>
      <c r="K85" s="60">
        <v>1</v>
      </c>
      <c r="L85" s="61">
        <f>A13</f>
        <v>0</v>
      </c>
      <c r="M85" s="61">
        <f>B13</f>
        <v>0</v>
      </c>
      <c r="N85" s="61">
        <f>C13</f>
        <v>0</v>
      </c>
      <c r="O85" s="61">
        <f>D13</f>
        <v>0</v>
      </c>
      <c r="P85" s="61">
        <f>E13</f>
        <v>0</v>
      </c>
      <c r="Q85" s="1088"/>
    </row>
    <row r="86" spans="1:17" ht="13" x14ac:dyDescent="0.25">
      <c r="A86" s="1076"/>
      <c r="B86" s="58">
        <v>2</v>
      </c>
      <c r="C86" s="59">
        <f>G8</f>
        <v>120</v>
      </c>
      <c r="D86" s="59">
        <f>H8</f>
        <v>0</v>
      </c>
      <c r="E86" s="59">
        <f>I8</f>
        <v>0</v>
      </c>
      <c r="F86" s="59">
        <f>J8</f>
        <v>0</v>
      </c>
      <c r="G86" s="59">
        <f>K8</f>
        <v>7.2599999999999998E-2</v>
      </c>
      <c r="H86" s="1087"/>
      <c r="J86" s="1080"/>
      <c r="K86" s="58">
        <v>2</v>
      </c>
      <c r="L86" s="59">
        <f>G13</f>
        <v>0</v>
      </c>
      <c r="M86" s="59">
        <f>H13</f>
        <v>0</v>
      </c>
      <c r="N86" s="59">
        <f>I13</f>
        <v>0</v>
      </c>
      <c r="O86" s="59">
        <f>J13</f>
        <v>0</v>
      </c>
      <c r="P86" s="59">
        <f>K13</f>
        <v>0</v>
      </c>
      <c r="Q86" s="1087"/>
    </row>
    <row r="87" spans="1:17" ht="13" x14ac:dyDescent="0.25">
      <c r="A87" s="1076"/>
      <c r="B87" s="58">
        <v>3</v>
      </c>
      <c r="C87" s="59">
        <f>M8</f>
        <v>120</v>
      </c>
      <c r="D87" s="59">
        <f>N8</f>
        <v>0.06</v>
      </c>
      <c r="E87" s="59">
        <f>O8</f>
        <v>-0.1</v>
      </c>
      <c r="F87" s="59">
        <f>P8</f>
        <v>0.08</v>
      </c>
      <c r="G87" s="59">
        <f>Q8</f>
        <v>7.2599999999999998E-2</v>
      </c>
      <c r="H87" s="1087"/>
      <c r="J87" s="1080"/>
      <c r="K87" s="58">
        <v>3</v>
      </c>
      <c r="L87" s="59">
        <f>M13</f>
        <v>0</v>
      </c>
      <c r="M87" s="59">
        <f>N13</f>
        <v>0</v>
      </c>
      <c r="N87" s="59">
        <f>O13</f>
        <v>0</v>
      </c>
      <c r="O87" s="59">
        <f>P13</f>
        <v>0</v>
      </c>
      <c r="P87" s="59">
        <f>Q13</f>
        <v>0</v>
      </c>
      <c r="Q87" s="1087"/>
    </row>
    <row r="88" spans="1:17" ht="13" x14ac:dyDescent="0.25">
      <c r="A88" s="1076"/>
      <c r="B88" s="58">
        <v>4</v>
      </c>
      <c r="C88" s="59">
        <f>A21</f>
        <v>120</v>
      </c>
      <c r="D88" s="59">
        <f>B21</f>
        <v>0</v>
      </c>
      <c r="E88" s="59">
        <f>C21</f>
        <v>0.06</v>
      </c>
      <c r="F88" s="59">
        <f>D21</f>
        <v>0.03</v>
      </c>
      <c r="G88" s="59">
        <f>E21</f>
        <v>7.2599999999999998E-2</v>
      </c>
      <c r="H88" s="1087"/>
      <c r="J88" s="1080"/>
      <c r="K88" s="58">
        <v>4</v>
      </c>
      <c r="L88" s="59">
        <f>A26</f>
        <v>0</v>
      </c>
      <c r="M88" s="59">
        <f>B26</f>
        <v>0</v>
      </c>
      <c r="N88" s="59">
        <f>C26</f>
        <v>0</v>
      </c>
      <c r="O88" s="59">
        <f>D26</f>
        <v>0</v>
      </c>
      <c r="P88" s="59">
        <f>E26</f>
        <v>0</v>
      </c>
      <c r="Q88" s="1087"/>
    </row>
    <row r="89" spans="1:17" ht="13" x14ac:dyDescent="0.25">
      <c r="A89" s="1076"/>
      <c r="B89" s="58">
        <v>5</v>
      </c>
      <c r="C89" s="59">
        <f>G21</f>
        <v>120</v>
      </c>
      <c r="D89" s="59">
        <f>H21</f>
        <v>-0.12</v>
      </c>
      <c r="E89" s="59">
        <f>I21</f>
        <v>0</v>
      </c>
      <c r="F89" s="59" t="str">
        <f>J21</f>
        <v>-</v>
      </c>
      <c r="G89" s="59">
        <f>K21</f>
        <v>0.18</v>
      </c>
      <c r="H89" s="62"/>
      <c r="J89" s="1080"/>
      <c r="K89" s="58">
        <v>5</v>
      </c>
      <c r="L89" s="59">
        <f>G26</f>
        <v>0</v>
      </c>
      <c r="M89" s="59">
        <f>H26</f>
        <v>0</v>
      </c>
      <c r="N89" s="59">
        <f>I26</f>
        <v>0</v>
      </c>
      <c r="O89" s="59">
        <f>J26</f>
        <v>0</v>
      </c>
      <c r="P89" s="59">
        <f>K26</f>
        <v>0</v>
      </c>
      <c r="Q89" s="62"/>
    </row>
    <row r="90" spans="1:17" ht="13" x14ac:dyDescent="0.25">
      <c r="A90" s="1076"/>
      <c r="B90" s="58">
        <v>6</v>
      </c>
      <c r="C90" s="59">
        <f>M21</f>
        <v>120</v>
      </c>
      <c r="D90" s="59">
        <f>N21</f>
        <v>-0.12</v>
      </c>
      <c r="E90" s="59">
        <f>O21</f>
        <v>0</v>
      </c>
      <c r="F90" s="59">
        <f>P21</f>
        <v>0.06</v>
      </c>
      <c r="G90" s="59">
        <f>Q21</f>
        <v>0.18</v>
      </c>
      <c r="H90" s="1087"/>
      <c r="J90" s="1080"/>
      <c r="K90" s="58">
        <v>6</v>
      </c>
      <c r="L90" s="59">
        <f>M26</f>
        <v>0</v>
      </c>
      <c r="M90" s="59">
        <f>N26</f>
        <v>0</v>
      </c>
      <c r="N90" s="59">
        <f>O26</f>
        <v>0</v>
      </c>
      <c r="O90" s="59">
        <f>P26</f>
        <v>0</v>
      </c>
      <c r="P90" s="59">
        <f>Q26</f>
        <v>0</v>
      </c>
      <c r="Q90" s="1087"/>
    </row>
    <row r="91" spans="1:17" ht="13" x14ac:dyDescent="0.25">
      <c r="A91" s="1076"/>
      <c r="B91" s="58">
        <v>7</v>
      </c>
      <c r="C91" s="59">
        <f>A35</f>
        <v>120</v>
      </c>
      <c r="D91" s="59">
        <f>B35</f>
        <v>-0.12</v>
      </c>
      <c r="E91" s="59">
        <f>C35</f>
        <v>0</v>
      </c>
      <c r="F91" s="59">
        <f>D35</f>
        <v>0.06</v>
      </c>
      <c r="G91" s="59">
        <f>E35</f>
        <v>0.18</v>
      </c>
      <c r="H91" s="1087"/>
      <c r="J91" s="1080"/>
      <c r="K91" s="58">
        <v>7</v>
      </c>
      <c r="L91" s="59">
        <f>A40</f>
        <v>0</v>
      </c>
      <c r="M91" s="59">
        <f>B40</f>
        <v>0</v>
      </c>
      <c r="N91" s="59">
        <f>C40</f>
        <v>0</v>
      </c>
      <c r="O91" s="59">
        <f>D40</f>
        <v>0</v>
      </c>
      <c r="P91" s="59">
        <f>E40</f>
        <v>0</v>
      </c>
      <c r="Q91" s="1087"/>
    </row>
    <row r="92" spans="1:17" ht="13" x14ac:dyDescent="0.25">
      <c r="A92" s="1076"/>
      <c r="B92" s="58">
        <v>8</v>
      </c>
      <c r="C92" s="59">
        <f>G35</f>
        <v>120</v>
      </c>
      <c r="D92" s="59">
        <f>H35</f>
        <v>-0.12</v>
      </c>
      <c r="E92" s="59">
        <f>I35</f>
        <v>-0.12</v>
      </c>
      <c r="F92" s="59">
        <f>J35</f>
        <v>0</v>
      </c>
      <c r="G92" s="59">
        <f>K35</f>
        <v>0.18</v>
      </c>
      <c r="H92" s="1087"/>
      <c r="J92" s="1080"/>
      <c r="K92" s="58">
        <v>8</v>
      </c>
      <c r="L92" s="59">
        <f>G40</f>
        <v>0</v>
      </c>
      <c r="M92" s="59">
        <f>H40</f>
        <v>0</v>
      </c>
      <c r="N92" s="59">
        <f>I40</f>
        <v>0</v>
      </c>
      <c r="O92" s="59">
        <f>J40</f>
        <v>0</v>
      </c>
      <c r="P92" s="59">
        <f>K40</f>
        <v>0</v>
      </c>
      <c r="Q92" s="1087"/>
    </row>
    <row r="93" spans="1:17" ht="13" x14ac:dyDescent="0.25">
      <c r="A93" s="1076"/>
      <c r="B93" s="58">
        <v>9</v>
      </c>
      <c r="C93" s="59">
        <f>M35</f>
        <v>120</v>
      </c>
      <c r="D93" s="59">
        <f>N35</f>
        <v>-0.12</v>
      </c>
      <c r="E93" s="59">
        <f>O35</f>
        <v>-0.12</v>
      </c>
      <c r="F93" s="59">
        <f>P35</f>
        <v>0</v>
      </c>
      <c r="G93" s="59">
        <f>Q35</f>
        <v>0.18</v>
      </c>
      <c r="H93" s="1087"/>
      <c r="J93" s="1080"/>
      <c r="K93" s="58">
        <v>9</v>
      </c>
      <c r="L93" s="59">
        <f>A53</f>
        <v>0</v>
      </c>
      <c r="M93" s="59">
        <f>B53</f>
        <v>0</v>
      </c>
      <c r="N93" s="59">
        <f>C53</f>
        <v>0</v>
      </c>
      <c r="O93" s="59">
        <f>D53</f>
        <v>0</v>
      </c>
      <c r="P93" s="59">
        <f>E53</f>
        <v>0</v>
      </c>
      <c r="Q93" s="1087"/>
    </row>
    <row r="94" spans="1:17" ht="13" x14ac:dyDescent="0.25">
      <c r="A94" s="1076"/>
      <c r="B94" s="58">
        <v>10</v>
      </c>
      <c r="C94" s="59">
        <f>A48</f>
        <v>120</v>
      </c>
      <c r="D94" s="59">
        <f>B48</f>
        <v>0</v>
      </c>
      <c r="E94" s="59">
        <f>C48</f>
        <v>0</v>
      </c>
      <c r="F94" s="59">
        <f>D48</f>
        <v>0</v>
      </c>
      <c r="G94" s="59">
        <f>E48</f>
        <v>1.26E-2</v>
      </c>
      <c r="H94" s="106"/>
      <c r="J94" s="1080"/>
      <c r="K94" s="58">
        <v>10</v>
      </c>
      <c r="L94" s="59">
        <f>G53</f>
        <v>0</v>
      </c>
      <c r="M94" s="59">
        <f>H53</f>
        <v>0</v>
      </c>
      <c r="N94" s="59">
        <f>I53</f>
        <v>0</v>
      </c>
      <c r="O94" s="59">
        <f>J53</f>
        <v>0</v>
      </c>
      <c r="P94" s="59">
        <f>K53</f>
        <v>0</v>
      </c>
      <c r="Q94" s="106"/>
    </row>
    <row r="95" spans="1:17" ht="13" x14ac:dyDescent="0.25">
      <c r="A95" s="1076"/>
      <c r="B95" s="293">
        <v>11</v>
      </c>
      <c r="C95" s="294">
        <f>G48</f>
        <v>120</v>
      </c>
      <c r="D95" s="294">
        <f>H48</f>
        <v>0</v>
      </c>
      <c r="E95" s="294">
        <f>I48</f>
        <v>0</v>
      </c>
      <c r="F95" s="294">
        <f>J48</f>
        <v>0</v>
      </c>
      <c r="G95" s="294">
        <f>K48</f>
        <v>1.26E-2</v>
      </c>
      <c r="H95" s="411"/>
      <c r="J95" s="1080"/>
      <c r="K95" s="293">
        <v>11</v>
      </c>
      <c r="L95" s="294"/>
      <c r="M95" s="294"/>
      <c r="N95" s="294"/>
      <c r="O95" s="294"/>
      <c r="P95" s="294"/>
      <c r="Q95" s="411"/>
    </row>
    <row r="96" spans="1:17" ht="13.5" thickBot="1" x14ac:dyDescent="0.3">
      <c r="A96" s="1077"/>
      <c r="B96" s="293">
        <v>12</v>
      </c>
      <c r="C96" s="294">
        <f>M48</f>
        <v>120</v>
      </c>
      <c r="D96" s="294" t="str">
        <f>N48</f>
        <v>-</v>
      </c>
      <c r="E96" s="294" t="str">
        <f>O48</f>
        <v>-</v>
      </c>
      <c r="F96" s="294">
        <f>P48</f>
        <v>0</v>
      </c>
      <c r="G96" s="294" t="str">
        <f>Q48</f>
        <v>-</v>
      </c>
      <c r="H96" s="411"/>
      <c r="J96" s="1083"/>
      <c r="K96" s="293">
        <v>12</v>
      </c>
      <c r="L96" s="294"/>
      <c r="M96" s="294"/>
      <c r="N96" s="294"/>
      <c r="O96" s="294"/>
      <c r="P96" s="294"/>
      <c r="Q96" s="411"/>
    </row>
    <row r="97" spans="1:17" ht="13" x14ac:dyDescent="0.25">
      <c r="A97" s="1079" t="s">
        <v>53</v>
      </c>
      <c r="B97" s="60">
        <v>1</v>
      </c>
      <c r="C97" s="61">
        <f>A9</f>
        <v>180</v>
      </c>
      <c r="D97" s="61">
        <f>B9</f>
        <v>0.18</v>
      </c>
      <c r="E97" s="61">
        <f>C9</f>
        <v>0</v>
      </c>
      <c r="F97" s="61">
        <f>D9</f>
        <v>0.09</v>
      </c>
      <c r="G97" s="61">
        <f>E9</f>
        <v>0.18</v>
      </c>
      <c r="H97" s="1088"/>
      <c r="J97" s="1084" t="s">
        <v>334</v>
      </c>
      <c r="K97" s="413">
        <v>1</v>
      </c>
      <c r="L97" s="61">
        <f>A14</f>
        <v>0</v>
      </c>
      <c r="M97" s="61">
        <f>B14</f>
        <v>0</v>
      </c>
      <c r="N97" s="61">
        <f>C14</f>
        <v>0</v>
      </c>
      <c r="O97" s="61">
        <f>D14</f>
        <v>0</v>
      </c>
      <c r="P97" s="417">
        <f>E14</f>
        <v>0</v>
      </c>
      <c r="Q97" s="1089"/>
    </row>
    <row r="98" spans="1:17" ht="13" x14ac:dyDescent="0.25">
      <c r="A98" s="1080"/>
      <c r="B98" s="58">
        <v>2</v>
      </c>
      <c r="C98" s="59">
        <f>G9</f>
        <v>180</v>
      </c>
      <c r="D98" s="59">
        <f>H9</f>
        <v>0</v>
      </c>
      <c r="E98" s="59">
        <f>I9</f>
        <v>0</v>
      </c>
      <c r="F98" s="59">
        <f>J9</f>
        <v>0</v>
      </c>
      <c r="G98" s="59">
        <f>K9</f>
        <v>0.1086</v>
      </c>
      <c r="H98" s="1087"/>
      <c r="J98" s="1085"/>
      <c r="K98" s="414">
        <v>2</v>
      </c>
      <c r="L98" s="59">
        <f>G14</f>
        <v>0</v>
      </c>
      <c r="M98" s="59">
        <f>H14</f>
        <v>0</v>
      </c>
      <c r="N98" s="59">
        <f>I14</f>
        <v>0</v>
      </c>
      <c r="O98" s="59">
        <f>J14</f>
        <v>0</v>
      </c>
      <c r="P98" s="418">
        <f>K14</f>
        <v>0</v>
      </c>
      <c r="Q98" s="1090"/>
    </row>
    <row r="99" spans="1:17" ht="13" x14ac:dyDescent="0.25">
      <c r="A99" s="1080"/>
      <c r="B99" s="58">
        <v>3</v>
      </c>
      <c r="C99" s="59">
        <f>M9</f>
        <v>180</v>
      </c>
      <c r="D99" s="59">
        <f>N9</f>
        <v>0</v>
      </c>
      <c r="E99" s="59">
        <f>O9</f>
        <v>0.1</v>
      </c>
      <c r="F99" s="59">
        <f>P9</f>
        <v>0.05</v>
      </c>
      <c r="G99" s="59">
        <f>Q9</f>
        <v>0.1086</v>
      </c>
      <c r="H99" s="1087"/>
      <c r="J99" s="1085"/>
      <c r="K99" s="414">
        <v>3</v>
      </c>
      <c r="L99" s="59">
        <f>M14</f>
        <v>0</v>
      </c>
      <c r="M99" s="59">
        <f>N14</f>
        <v>0</v>
      </c>
      <c r="N99" s="59">
        <f>O14</f>
        <v>0</v>
      </c>
      <c r="O99" s="59">
        <f>P14</f>
        <v>0</v>
      </c>
      <c r="P99" s="418">
        <f>Q14</f>
        <v>0</v>
      </c>
      <c r="Q99" s="1090"/>
    </row>
    <row r="100" spans="1:17" ht="13" x14ac:dyDescent="0.25">
      <c r="A100" s="1080"/>
      <c r="B100" s="58">
        <v>4</v>
      </c>
      <c r="C100" s="59">
        <f>A22</f>
        <v>180</v>
      </c>
      <c r="D100" s="59">
        <f>B22</f>
        <v>0</v>
      </c>
      <c r="E100" s="59" t="str">
        <f>C22</f>
        <v>-</v>
      </c>
      <c r="F100" s="59">
        <f>D22</f>
        <v>0</v>
      </c>
      <c r="G100" s="59">
        <f>E22</f>
        <v>0.1086</v>
      </c>
      <c r="H100" s="1087"/>
      <c r="J100" s="1085"/>
      <c r="K100" s="414">
        <v>4</v>
      </c>
      <c r="L100" s="59">
        <f>A27</f>
        <v>0</v>
      </c>
      <c r="M100" s="59">
        <f>B27</f>
        <v>0</v>
      </c>
      <c r="N100" s="59">
        <f>C27</f>
        <v>0</v>
      </c>
      <c r="O100" s="59">
        <f>D27</f>
        <v>0</v>
      </c>
      <c r="P100" s="418">
        <f>E27</f>
        <v>0</v>
      </c>
      <c r="Q100" s="1090"/>
    </row>
    <row r="101" spans="1:17" ht="13" x14ac:dyDescent="0.25">
      <c r="A101" s="1080"/>
      <c r="B101" s="58">
        <v>5</v>
      </c>
      <c r="C101" s="59">
        <f>G22</f>
        <v>180</v>
      </c>
      <c r="D101" s="59">
        <f>H22</f>
        <v>-0.06</v>
      </c>
      <c r="E101" s="59">
        <f>I22</f>
        <v>0</v>
      </c>
      <c r="F101" s="59" t="str">
        <f>J22</f>
        <v>-</v>
      </c>
      <c r="G101" s="59">
        <f>K22</f>
        <v>0.18</v>
      </c>
      <c r="H101" s="62"/>
      <c r="J101" s="1085"/>
      <c r="K101" s="414">
        <v>5</v>
      </c>
      <c r="L101" s="59">
        <f>G27</f>
        <v>0</v>
      </c>
      <c r="M101" s="59">
        <f>H27</f>
        <v>0</v>
      </c>
      <c r="N101" s="59">
        <f>I27</f>
        <v>0</v>
      </c>
      <c r="O101" s="59">
        <f>J27</f>
        <v>0</v>
      </c>
      <c r="P101" s="418">
        <f>K27</f>
        <v>0</v>
      </c>
      <c r="Q101" s="420"/>
    </row>
    <row r="102" spans="1:17" ht="13" x14ac:dyDescent="0.25">
      <c r="A102" s="1080"/>
      <c r="B102" s="58">
        <v>6</v>
      </c>
      <c r="C102" s="59">
        <f>M22</f>
        <v>180</v>
      </c>
      <c r="D102" s="59">
        <f>N22</f>
        <v>0.06</v>
      </c>
      <c r="E102" s="59">
        <f>O22</f>
        <v>0</v>
      </c>
      <c r="F102" s="59">
        <f>P22</f>
        <v>0.03</v>
      </c>
      <c r="G102" s="59">
        <f>Q22</f>
        <v>0.18</v>
      </c>
      <c r="H102" s="1087"/>
      <c r="J102" s="1085"/>
      <c r="K102" s="414">
        <v>6</v>
      </c>
      <c r="L102" s="59">
        <f>M27</f>
        <v>0</v>
      </c>
      <c r="M102" s="59">
        <f>N27</f>
        <v>0</v>
      </c>
      <c r="N102" s="59">
        <f>O27</f>
        <v>0</v>
      </c>
      <c r="O102" s="59">
        <f>P27</f>
        <v>0</v>
      </c>
      <c r="P102" s="418">
        <f>Q27</f>
        <v>0</v>
      </c>
      <c r="Q102" s="1090"/>
    </row>
    <row r="103" spans="1:17" ht="13" x14ac:dyDescent="0.25">
      <c r="A103" s="1080"/>
      <c r="B103" s="58">
        <v>7</v>
      </c>
      <c r="C103" s="59">
        <f>A36</f>
        <v>180</v>
      </c>
      <c r="D103" s="59">
        <f>B36</f>
        <v>0</v>
      </c>
      <c r="E103" s="59">
        <f>C36</f>
        <v>0</v>
      </c>
      <c r="F103" s="59">
        <f>D36</f>
        <v>0</v>
      </c>
      <c r="G103" s="59">
        <f>E36</f>
        <v>0.18</v>
      </c>
      <c r="H103" s="1087"/>
      <c r="J103" s="1085"/>
      <c r="K103" s="414">
        <v>7</v>
      </c>
      <c r="L103" s="59">
        <f>A41</f>
        <v>0</v>
      </c>
      <c r="M103" s="59">
        <f>B41</f>
        <v>0</v>
      </c>
      <c r="N103" s="59">
        <f>C41</f>
        <v>0</v>
      </c>
      <c r="O103" s="59">
        <f>D41</f>
        <v>0</v>
      </c>
      <c r="P103" s="418">
        <f>E41</f>
        <v>0</v>
      </c>
      <c r="Q103" s="1090"/>
    </row>
    <row r="104" spans="1:17" ht="13" x14ac:dyDescent="0.25">
      <c r="A104" s="1080"/>
      <c r="B104" s="58">
        <v>8</v>
      </c>
      <c r="C104" s="59">
        <f>G36</f>
        <v>180</v>
      </c>
      <c r="D104" s="59">
        <f>H36</f>
        <v>0.12</v>
      </c>
      <c r="E104" s="59">
        <f>I36</f>
        <v>0.12</v>
      </c>
      <c r="F104" s="59">
        <f>J36</f>
        <v>0</v>
      </c>
      <c r="G104" s="59">
        <f>K36</f>
        <v>0.18</v>
      </c>
      <c r="H104" s="1087"/>
      <c r="J104" s="1085"/>
      <c r="K104" s="414">
        <v>8</v>
      </c>
      <c r="L104" s="59">
        <f>G41</f>
        <v>0</v>
      </c>
      <c r="M104" s="59">
        <f>H41</f>
        <v>0</v>
      </c>
      <c r="N104" s="59">
        <f>I41</f>
        <v>0</v>
      </c>
      <c r="O104" s="59">
        <f>J41</f>
        <v>0</v>
      </c>
      <c r="P104" s="418">
        <f>K41</f>
        <v>0</v>
      </c>
      <c r="Q104" s="1090"/>
    </row>
    <row r="105" spans="1:17" ht="13" x14ac:dyDescent="0.25">
      <c r="A105" s="1080"/>
      <c r="B105" s="58">
        <v>9</v>
      </c>
      <c r="C105" s="59">
        <f>M36</f>
        <v>180</v>
      </c>
      <c r="D105" s="59">
        <f>N36</f>
        <v>0.12</v>
      </c>
      <c r="E105" s="59">
        <f>O36</f>
        <v>0.12</v>
      </c>
      <c r="F105" s="59">
        <f>P36</f>
        <v>0</v>
      </c>
      <c r="G105" s="59">
        <f>Q36</f>
        <v>0.18</v>
      </c>
      <c r="H105" s="1087"/>
      <c r="J105" s="1085"/>
      <c r="K105" s="414">
        <v>9</v>
      </c>
      <c r="L105" s="59">
        <f>A54</f>
        <v>0</v>
      </c>
      <c r="M105" s="59">
        <f>B54</f>
        <v>0</v>
      </c>
      <c r="N105" s="59">
        <f>C54</f>
        <v>0</v>
      </c>
      <c r="O105" s="59">
        <f>D54</f>
        <v>0</v>
      </c>
      <c r="P105" s="418">
        <f>E54</f>
        <v>0</v>
      </c>
      <c r="Q105" s="1090"/>
    </row>
    <row r="106" spans="1:17" ht="13" x14ac:dyDescent="0.25">
      <c r="A106" s="1080"/>
      <c r="B106" s="58">
        <v>10</v>
      </c>
      <c r="C106" s="59">
        <f>A49</f>
        <v>180</v>
      </c>
      <c r="D106" s="59">
        <f>B49</f>
        <v>0</v>
      </c>
      <c r="E106" s="59">
        <f>C49</f>
        <v>0</v>
      </c>
      <c r="F106" s="59">
        <f>D49</f>
        <v>0</v>
      </c>
      <c r="G106" s="59">
        <f>E49</f>
        <v>1.8600000000000002E-2</v>
      </c>
      <c r="H106" s="106"/>
      <c r="J106" s="1085"/>
      <c r="K106" s="414">
        <v>10</v>
      </c>
      <c r="L106" s="59">
        <f>G54</f>
        <v>0</v>
      </c>
      <c r="M106" s="59">
        <f>H54</f>
        <v>0</v>
      </c>
      <c r="N106" s="59">
        <f>I54</f>
        <v>0</v>
      </c>
      <c r="O106" s="59">
        <f>J54</f>
        <v>0</v>
      </c>
      <c r="P106" s="418">
        <f>K54</f>
        <v>0</v>
      </c>
      <c r="Q106" s="421"/>
    </row>
    <row r="107" spans="1:17" ht="13" x14ac:dyDescent="0.25">
      <c r="A107" s="1080"/>
      <c r="B107" s="293">
        <v>11</v>
      </c>
      <c r="C107" s="294">
        <f>G49</f>
        <v>180</v>
      </c>
      <c r="D107" s="294">
        <f>H49</f>
        <v>0</v>
      </c>
      <c r="E107" s="294">
        <f>I49</f>
        <v>0</v>
      </c>
      <c r="F107" s="294">
        <f>J49</f>
        <v>0</v>
      </c>
      <c r="G107" s="294">
        <f>K49</f>
        <v>1.8600000000000002E-2</v>
      </c>
      <c r="H107" s="106"/>
      <c r="J107" s="1085"/>
      <c r="K107" s="415">
        <v>11</v>
      </c>
      <c r="L107" s="412"/>
      <c r="M107" s="412"/>
      <c r="N107" s="412"/>
      <c r="O107" s="412"/>
      <c r="P107" s="412"/>
      <c r="Q107" s="422"/>
    </row>
    <row r="108" spans="1:17" ht="13.5" thickBot="1" x14ac:dyDescent="0.3">
      <c r="A108" s="1081"/>
      <c r="B108" s="293">
        <v>12</v>
      </c>
      <c r="C108" s="294">
        <f>M49</f>
        <v>180</v>
      </c>
      <c r="D108" s="294" t="str">
        <f>N49</f>
        <v>-</v>
      </c>
      <c r="E108" s="294" t="str">
        <f>O49</f>
        <v>-</v>
      </c>
      <c r="F108" s="294">
        <f>P49</f>
        <v>0</v>
      </c>
      <c r="G108" s="294" t="str">
        <f>Q49</f>
        <v>-</v>
      </c>
      <c r="H108" s="419"/>
      <c r="J108" s="1086"/>
      <c r="K108" s="424">
        <v>12</v>
      </c>
      <c r="L108" s="425"/>
      <c r="M108" s="425"/>
      <c r="N108" s="425"/>
      <c r="O108" s="425"/>
      <c r="P108" s="425"/>
      <c r="Q108" s="423"/>
    </row>
    <row r="109" spans="1:17" ht="13" x14ac:dyDescent="0.25">
      <c r="A109" s="1082" t="s">
        <v>54</v>
      </c>
      <c r="B109" s="58">
        <v>1</v>
      </c>
      <c r="C109" s="61">
        <f>A10</f>
        <v>240</v>
      </c>
      <c r="D109" s="61">
        <f>B10</f>
        <v>-0.18</v>
      </c>
      <c r="E109" s="61">
        <f>C10</f>
        <v>0</v>
      </c>
      <c r="F109" s="61">
        <f>D10</f>
        <v>0.09</v>
      </c>
      <c r="G109" s="417">
        <f>E10</f>
        <v>0.18</v>
      </c>
      <c r="H109" s="1089"/>
      <c r="J109" s="63"/>
      <c r="K109" s="64"/>
      <c r="L109" s="39"/>
      <c r="M109" s="39"/>
      <c r="N109" s="39"/>
      <c r="O109" s="39"/>
      <c r="P109" s="39"/>
      <c r="Q109" s="65"/>
    </row>
    <row r="110" spans="1:17" ht="13" x14ac:dyDescent="0.25">
      <c r="A110" s="1082"/>
      <c r="B110" s="58">
        <v>2</v>
      </c>
      <c r="C110" s="59">
        <f>G10</f>
        <v>240</v>
      </c>
      <c r="D110" s="59">
        <f>H10</f>
        <v>0</v>
      </c>
      <c r="E110" s="59">
        <f>I10</f>
        <v>0</v>
      </c>
      <c r="F110" s="59">
        <f>J10</f>
        <v>0</v>
      </c>
      <c r="G110" s="418">
        <f>K10</f>
        <v>0.14460000000000001</v>
      </c>
      <c r="H110" s="1090"/>
      <c r="J110" s="63"/>
      <c r="K110" s="64"/>
      <c r="L110" s="39"/>
      <c r="M110" s="39"/>
      <c r="N110" s="39"/>
      <c r="O110" s="39"/>
      <c r="P110" s="39"/>
      <c r="Q110" s="65"/>
    </row>
    <row r="111" spans="1:17" ht="13" x14ac:dyDescent="0.25">
      <c r="A111" s="1082"/>
      <c r="B111" s="58">
        <v>3</v>
      </c>
      <c r="C111" s="59">
        <f>M10</f>
        <v>240</v>
      </c>
      <c r="D111" s="59">
        <f>N10</f>
        <v>0.06</v>
      </c>
      <c r="E111" s="59">
        <f>O10</f>
        <v>-7.0000000000000007E-2</v>
      </c>
      <c r="F111" s="59">
        <f>P10</f>
        <v>6.5000000000000002E-2</v>
      </c>
      <c r="G111" s="418">
        <f>Q10</f>
        <v>0.14460000000000001</v>
      </c>
      <c r="H111" s="1090"/>
      <c r="J111" s="63"/>
      <c r="K111" s="64"/>
      <c r="L111" s="39"/>
      <c r="M111" s="39"/>
      <c r="N111" s="39"/>
      <c r="O111" s="39"/>
      <c r="P111" s="39"/>
      <c r="Q111" s="65"/>
    </row>
    <row r="112" spans="1:17" ht="13" x14ac:dyDescent="0.25">
      <c r="A112" s="1082"/>
      <c r="B112" s="58">
        <v>4</v>
      </c>
      <c r="C112" s="59">
        <f>A23</f>
        <v>240</v>
      </c>
      <c r="D112" s="59">
        <f>B23</f>
        <v>0</v>
      </c>
      <c r="E112" s="59">
        <f>C23</f>
        <v>0.06</v>
      </c>
      <c r="F112" s="59">
        <f>D23</f>
        <v>0.03</v>
      </c>
      <c r="G112" s="418">
        <f>E23</f>
        <v>0.14460000000000001</v>
      </c>
      <c r="H112" s="1090"/>
      <c r="J112" s="63"/>
      <c r="K112" s="64"/>
      <c r="L112" s="39"/>
      <c r="M112" s="39"/>
      <c r="N112" s="39"/>
      <c r="O112" s="39"/>
      <c r="P112" s="39"/>
      <c r="Q112" s="65"/>
    </row>
    <row r="113" spans="1:24" ht="13" x14ac:dyDescent="0.25">
      <c r="A113" s="1082"/>
      <c r="B113" s="58">
        <v>5</v>
      </c>
      <c r="C113" s="59">
        <f>G23</f>
        <v>240</v>
      </c>
      <c r="D113" s="59">
        <f>H23</f>
        <v>-0.06</v>
      </c>
      <c r="E113" s="59">
        <f>I23</f>
        <v>0</v>
      </c>
      <c r="F113" s="59" t="str">
        <f>J23</f>
        <v>-</v>
      </c>
      <c r="G113" s="418">
        <f>K23</f>
        <v>0.18</v>
      </c>
      <c r="H113" s="420"/>
      <c r="J113" s="63"/>
      <c r="K113" s="64"/>
      <c r="L113" s="39"/>
      <c r="M113" s="39"/>
      <c r="N113" s="39"/>
      <c r="O113" s="39"/>
      <c r="P113" s="39"/>
      <c r="Q113" s="65"/>
    </row>
    <row r="114" spans="1:24" ht="13" x14ac:dyDescent="0.25">
      <c r="A114" s="1082"/>
      <c r="B114" s="58">
        <v>6</v>
      </c>
      <c r="C114" s="59">
        <f>M23</f>
        <v>240</v>
      </c>
      <c r="D114" s="59">
        <f>N23</f>
        <v>-0.12</v>
      </c>
      <c r="E114" s="59">
        <f>O23</f>
        <v>0</v>
      </c>
      <c r="F114" s="59">
        <f>P23</f>
        <v>0.06</v>
      </c>
      <c r="G114" s="418">
        <f>Q23</f>
        <v>0.18</v>
      </c>
      <c r="H114" s="1090"/>
      <c r="J114" s="63"/>
      <c r="K114" s="64"/>
      <c r="L114" s="39"/>
      <c r="M114" s="39"/>
      <c r="N114" s="39"/>
      <c r="O114" s="39"/>
      <c r="P114" s="39"/>
      <c r="Q114" s="65"/>
    </row>
    <row r="115" spans="1:24" ht="13" x14ac:dyDescent="0.25">
      <c r="A115" s="1082"/>
      <c r="B115" s="58">
        <v>7</v>
      </c>
      <c r="C115" s="59">
        <f>A37</f>
        <v>240</v>
      </c>
      <c r="D115" s="59">
        <f>B37</f>
        <v>-0.06</v>
      </c>
      <c r="E115" s="59">
        <f>C37</f>
        <v>0</v>
      </c>
      <c r="F115" s="59">
        <f>D37</f>
        <v>0.03</v>
      </c>
      <c r="G115" s="418">
        <f>E37</f>
        <v>0.18</v>
      </c>
      <c r="H115" s="1090"/>
      <c r="J115" s="63"/>
      <c r="K115" s="64"/>
      <c r="L115" s="39"/>
      <c r="M115" s="39"/>
      <c r="N115" s="39"/>
      <c r="O115" s="39"/>
      <c r="P115" s="39"/>
      <c r="Q115" s="65"/>
    </row>
    <row r="116" spans="1:24" ht="13" x14ac:dyDescent="0.25">
      <c r="A116" s="1082"/>
      <c r="B116" s="58">
        <v>8</v>
      </c>
      <c r="C116" s="59">
        <f>G37</f>
        <v>240</v>
      </c>
      <c r="D116" s="59">
        <f>H37</f>
        <v>-0.06</v>
      </c>
      <c r="E116" s="59">
        <f>I37</f>
        <v>-0.06</v>
      </c>
      <c r="F116" s="59">
        <f>J37</f>
        <v>0</v>
      </c>
      <c r="G116" s="418">
        <f>K37</f>
        <v>0.18</v>
      </c>
      <c r="H116" s="1090"/>
      <c r="J116" s="63"/>
      <c r="K116" s="64"/>
      <c r="L116" s="39"/>
      <c r="M116" s="39"/>
      <c r="N116" s="39"/>
      <c r="O116" s="39"/>
      <c r="P116" s="39"/>
      <c r="Q116" s="65"/>
    </row>
    <row r="117" spans="1:24" ht="13" x14ac:dyDescent="0.25">
      <c r="A117" s="1082"/>
      <c r="B117" s="58">
        <v>9</v>
      </c>
      <c r="C117" s="59">
        <f>M37</f>
        <v>240</v>
      </c>
      <c r="D117" s="59">
        <f>N37</f>
        <v>-0.12</v>
      </c>
      <c r="E117" s="59">
        <f>O37</f>
        <v>-0.12</v>
      </c>
      <c r="F117" s="59">
        <f>P37</f>
        <v>0</v>
      </c>
      <c r="G117" s="418">
        <f>Q37</f>
        <v>0.18</v>
      </c>
      <c r="H117" s="1090"/>
      <c r="J117" s="63"/>
      <c r="K117" s="64"/>
      <c r="L117" s="39"/>
      <c r="M117" s="39"/>
      <c r="N117" s="39"/>
      <c r="O117" s="39"/>
      <c r="P117" s="39"/>
      <c r="Q117" s="65"/>
    </row>
    <row r="118" spans="1:24" ht="13" x14ac:dyDescent="0.25">
      <c r="A118" s="1082"/>
      <c r="B118" s="58">
        <v>10</v>
      </c>
      <c r="C118" s="59">
        <f>A50</f>
        <v>240</v>
      </c>
      <c r="D118" s="59">
        <f>B50</f>
        <v>0</v>
      </c>
      <c r="E118" s="59">
        <f>C50</f>
        <v>0</v>
      </c>
      <c r="F118" s="59">
        <f>D50</f>
        <v>0</v>
      </c>
      <c r="G118" s="418">
        <f>E50</f>
        <v>2.46E-2</v>
      </c>
      <c r="H118" s="421"/>
      <c r="J118" s="63"/>
      <c r="K118" s="64"/>
      <c r="L118" s="39"/>
      <c r="M118" s="39"/>
      <c r="N118" s="39"/>
      <c r="O118" s="39"/>
      <c r="P118" s="39"/>
      <c r="Q118" s="65"/>
    </row>
    <row r="119" spans="1:24" ht="13" x14ac:dyDescent="0.25">
      <c r="A119" s="1082"/>
      <c r="B119" s="293">
        <v>11</v>
      </c>
      <c r="C119" s="59">
        <f>G50</f>
        <v>240</v>
      </c>
      <c r="D119" s="59">
        <f>H50</f>
        <v>0</v>
      </c>
      <c r="E119" s="59">
        <f>I50</f>
        <v>0</v>
      </c>
      <c r="F119" s="59">
        <f>J50</f>
        <v>0</v>
      </c>
      <c r="G119" s="418">
        <f>K50</f>
        <v>2.46E-2</v>
      </c>
      <c r="H119" s="422"/>
      <c r="J119" s="63"/>
      <c r="K119" s="64"/>
      <c r="L119" s="39"/>
      <c r="M119" s="39"/>
      <c r="N119" s="39"/>
      <c r="O119" s="39"/>
      <c r="P119" s="39"/>
      <c r="Q119" s="65"/>
    </row>
    <row r="120" spans="1:24" ht="13.5" thickBot="1" x14ac:dyDescent="0.3">
      <c r="A120" s="1082"/>
      <c r="B120" s="293">
        <v>12</v>
      </c>
      <c r="C120" s="59">
        <f>M50</f>
        <v>240</v>
      </c>
      <c r="D120" s="59" t="str">
        <f>N50</f>
        <v>-</v>
      </c>
      <c r="E120" s="59" t="str">
        <f>O50</f>
        <v>-</v>
      </c>
      <c r="F120" s="59">
        <f>P50</f>
        <v>0</v>
      </c>
      <c r="G120" s="418" t="str">
        <f>Q50</f>
        <v>-</v>
      </c>
      <c r="H120" s="423"/>
      <c r="J120" s="63"/>
      <c r="K120" s="64"/>
      <c r="L120" s="39"/>
      <c r="M120" s="39"/>
      <c r="N120" s="39"/>
      <c r="O120" s="39"/>
      <c r="P120" s="39"/>
      <c r="Q120" s="65"/>
    </row>
    <row r="121" spans="1:24" ht="13" x14ac:dyDescent="0.25">
      <c r="A121" s="66"/>
      <c r="B121" s="64"/>
      <c r="C121" s="13"/>
      <c r="D121" s="67"/>
      <c r="E121" s="67"/>
      <c r="F121" s="67"/>
      <c r="G121" s="67"/>
    </row>
    <row r="122" spans="1:24" ht="13" x14ac:dyDescent="0.3">
      <c r="A122" s="50"/>
      <c r="B122" s="51"/>
      <c r="C122" s="51"/>
      <c r="D122" s="51"/>
      <c r="E122" s="51"/>
      <c r="F122" s="51"/>
      <c r="G122" s="51"/>
      <c r="H122" s="51"/>
      <c r="I122" s="51"/>
      <c r="J122" s="68"/>
      <c r="K122" s="69"/>
      <c r="L122" s="68"/>
      <c r="M122" s="70"/>
      <c r="N122" s="14"/>
      <c r="O122" s="68"/>
      <c r="P122" s="69"/>
      <c r="Q122" s="68"/>
    </row>
    <row r="123" spans="1:24" ht="28.5" customHeight="1" x14ac:dyDescent="0.3">
      <c r="A123" s="399">
        <f>A175</f>
        <v>4</v>
      </c>
      <c r="B123" s="1131" t="str">
        <f>A162</f>
        <v>Multiparameter Simulator, Merek : Fluke, Model : MPS 450, SN : 184633</v>
      </c>
      <c r="C123" s="1131"/>
      <c r="D123" s="1131"/>
      <c r="E123" s="1131"/>
      <c r="F123" s="400"/>
      <c r="G123" s="401"/>
      <c r="H123" s="1132"/>
      <c r="I123" s="1132"/>
      <c r="J123" s="1132"/>
      <c r="K123" s="1132"/>
      <c r="L123" s="18"/>
      <c r="M123" s="71"/>
      <c r="N123" s="14"/>
      <c r="O123" s="69"/>
      <c r="P123" s="68"/>
      <c r="Q123" s="70"/>
      <c r="X123" s="72"/>
    </row>
    <row r="124" spans="1:24" ht="13" x14ac:dyDescent="0.3">
      <c r="A124" s="402" t="str">
        <f>A4</f>
        <v>ECG</v>
      </c>
      <c r="B124" s="1133" t="s">
        <v>271</v>
      </c>
      <c r="C124" s="1133"/>
      <c r="D124" s="1144" t="s">
        <v>337</v>
      </c>
      <c r="E124" s="1144" t="s">
        <v>272</v>
      </c>
      <c r="F124" s="1134" t="s">
        <v>329</v>
      </c>
      <c r="H124" s="1135"/>
      <c r="I124" s="1135"/>
      <c r="J124" s="107"/>
      <c r="K124" s="1136"/>
      <c r="L124" s="18"/>
      <c r="M124" s="18"/>
      <c r="N124" s="14"/>
      <c r="O124" s="68"/>
      <c r="P124" s="69"/>
      <c r="Q124" s="68"/>
    </row>
    <row r="125" spans="1:24" ht="13" x14ac:dyDescent="0.3">
      <c r="A125" s="403" t="str">
        <f>A5</f>
        <v>BPM</v>
      </c>
      <c r="B125" s="402">
        <f>VLOOKUP(B123,A163:K174,9,FALSE)</f>
        <v>2017</v>
      </c>
      <c r="C125" s="402">
        <f>VLOOKUP(B123,A163:K174,10,FALSE)</f>
        <v>2014</v>
      </c>
      <c r="D125" s="1145"/>
      <c r="E125" s="1145"/>
      <c r="F125" s="1134"/>
      <c r="H125" s="107"/>
      <c r="I125" s="107"/>
      <c r="J125" s="107"/>
      <c r="K125" s="1136"/>
      <c r="L125" s="18"/>
      <c r="M125" s="18"/>
      <c r="N125" s="14"/>
      <c r="O125" s="51"/>
      <c r="P125" s="51"/>
      <c r="Q125" s="51"/>
    </row>
    <row r="126" spans="1:24" ht="13" x14ac:dyDescent="0.3">
      <c r="A126" s="404">
        <f>VLOOKUP(A123,B61:G70,2)</f>
        <v>30</v>
      </c>
      <c r="B126" s="90">
        <f>IF(VLOOKUP(A123,B61:G72,3,FALSE)=0,0.00001,VLOOKUP(A123,B61:G72,3,FALSE))</f>
        <v>1.0000000000000001E-5</v>
      </c>
      <c r="C126" s="821">
        <f>IF(VLOOKUP($A$123,B61:G72,4,FALSE)=0,0.00001,VLOOKUP($A$123,B61:G72,4,FALSE))</f>
        <v>1.0000000000000001E-5</v>
      </c>
      <c r="D126" s="295">
        <f>IF(C126="-",B126,C126)</f>
        <v>1.0000000000000001E-5</v>
      </c>
      <c r="E126" s="686">
        <f>IF(0.5*(MAX(B126:C126)-MIN(B126:C126))=0,0.00001,0.5*(MAX(B126:C126)-MIN(B126:C126)))</f>
        <v>1.0000000000000001E-5</v>
      </c>
      <c r="F126" s="90">
        <f>VLOOKUP($A$123,B61:G72,6,FALSE)</f>
        <v>1.8600000000000002E-2</v>
      </c>
      <c r="H126" s="39"/>
      <c r="I126" s="39"/>
      <c r="J126" s="39"/>
      <c r="K126" s="39"/>
      <c r="L126" s="18"/>
      <c r="M126" s="18"/>
      <c r="N126" s="14"/>
      <c r="O126" s="51"/>
      <c r="P126" s="51"/>
      <c r="Q126" s="51"/>
    </row>
    <row r="127" spans="1:24" ht="13" x14ac:dyDescent="0.3">
      <c r="A127" s="404">
        <f>VLOOKUP(A123,B73:G82,2)</f>
        <v>60</v>
      </c>
      <c r="B127" s="90">
        <f>VLOOKUP(A123,B73:G84,3,FALSE)</f>
        <v>0</v>
      </c>
      <c r="C127" s="90">
        <f>VLOOKUP($A$123,B73:G84,4,FALSE)</f>
        <v>0</v>
      </c>
      <c r="D127" s="398">
        <f>IF(C127="-",B127,C127)</f>
        <v>0</v>
      </c>
      <c r="E127" s="686">
        <f t="shared" ref="E127:E130" si="0">IF(0.5*(MAX(B127:C127)-MIN(B127:C127))=0,0.00001,0.5*(MAX(B127:C127)-MIN(B127:C127)))</f>
        <v>1.0000000000000001E-5</v>
      </c>
      <c r="F127" s="90">
        <f>VLOOKUP($A$123,B73:G84,6,FALSE)</f>
        <v>3.6600000000000001E-2</v>
      </c>
      <c r="H127" s="39"/>
      <c r="I127" s="39"/>
      <c r="J127" s="39"/>
      <c r="K127" s="39"/>
      <c r="L127" s="18"/>
      <c r="M127" s="18"/>
      <c r="N127" s="14"/>
      <c r="O127" s="51"/>
      <c r="P127" s="51"/>
      <c r="Q127" s="51"/>
    </row>
    <row r="128" spans="1:24" ht="13" x14ac:dyDescent="0.3">
      <c r="A128" s="404">
        <f>VLOOKUP(A123,B85:G94,2)</f>
        <v>120</v>
      </c>
      <c r="B128" s="90">
        <f>VLOOKUP(A123,B85:G96,3,FALSE)</f>
        <v>0</v>
      </c>
      <c r="C128" s="90">
        <f>VLOOKUP($A$123,B85:G96,4,FALSE)</f>
        <v>0.06</v>
      </c>
      <c r="D128" s="398">
        <f>IF(C128="-",B128,C128)</f>
        <v>0.06</v>
      </c>
      <c r="E128" s="686">
        <f t="shared" si="0"/>
        <v>0.03</v>
      </c>
      <c r="F128" s="90">
        <f>VLOOKUP($A$123,B85:G96,6,FALSE)</f>
        <v>7.2599999999999998E-2</v>
      </c>
      <c r="H128" s="39"/>
      <c r="I128" s="39"/>
      <c r="J128" s="39"/>
      <c r="K128" s="39"/>
      <c r="L128" s="14"/>
      <c r="M128" s="14"/>
      <c r="N128" s="14"/>
      <c r="O128" s="51"/>
      <c r="P128" s="51"/>
      <c r="Q128" s="51"/>
    </row>
    <row r="129" spans="1:17" ht="13" x14ac:dyDescent="0.3">
      <c r="A129" s="404">
        <f>VLOOKUP(A123,B97:G106,2)</f>
        <v>180</v>
      </c>
      <c r="B129" s="90">
        <f>VLOOKUP(A123,B97:G108,3,FALSE)</f>
        <v>0</v>
      </c>
      <c r="C129" s="90" t="str">
        <f>VLOOKUP($A$123,B97:G108,4,FALSE)</f>
        <v>-</v>
      </c>
      <c r="D129" s="398">
        <f>IF(C129="-",B129,C129)</f>
        <v>0</v>
      </c>
      <c r="E129" s="686">
        <f t="shared" si="0"/>
        <v>1.0000000000000001E-5</v>
      </c>
      <c r="F129" s="90">
        <f>VLOOKUP($A$123,B97:G108,6,FALSE)</f>
        <v>0.1086</v>
      </c>
      <c r="H129" s="39"/>
      <c r="I129" s="39"/>
      <c r="J129" s="39"/>
      <c r="K129" s="39"/>
      <c r="L129" s="14"/>
      <c r="M129" s="14"/>
      <c r="N129" s="14"/>
      <c r="O129" s="51"/>
      <c r="P129" s="51"/>
      <c r="Q129" s="51"/>
    </row>
    <row r="130" spans="1:17" ht="13" x14ac:dyDescent="0.3">
      <c r="A130" s="404">
        <f>VLOOKUP(A123,B109:G118,2)</f>
        <v>240</v>
      </c>
      <c r="B130" s="90">
        <f>VLOOKUP(A123,B109:G120,3,FALSE)</f>
        <v>0</v>
      </c>
      <c r="C130" s="90">
        <f>VLOOKUP($A$123,B109:G120,4,FALSE)</f>
        <v>0.06</v>
      </c>
      <c r="D130" s="398">
        <f>IF(C130="-",B130,C130)</f>
        <v>0.06</v>
      </c>
      <c r="E130" s="686">
        <f t="shared" si="0"/>
        <v>0.03</v>
      </c>
      <c r="F130" s="90">
        <f>VLOOKUP($A$123,B109:G120,6,FALSE)</f>
        <v>0.14460000000000001</v>
      </c>
      <c r="H130" s="39"/>
      <c r="I130" s="39"/>
      <c r="J130" s="39"/>
      <c r="K130" s="39"/>
      <c r="L130" s="14"/>
      <c r="M130" s="14"/>
      <c r="N130" s="14"/>
      <c r="O130" s="51"/>
      <c r="P130" s="51"/>
      <c r="Q130" s="51"/>
    </row>
    <row r="131" spans="1:17" ht="13" x14ac:dyDescent="0.3">
      <c r="A131" s="391"/>
      <c r="B131" s="392"/>
      <c r="C131" s="392"/>
      <c r="D131" s="395"/>
      <c r="E131" s="392"/>
      <c r="F131" s="392"/>
      <c r="G131" s="13"/>
      <c r="H131" s="39"/>
      <c r="I131" s="39"/>
      <c r="J131" s="39"/>
      <c r="K131" s="39"/>
      <c r="L131" s="14"/>
      <c r="M131" s="14"/>
      <c r="N131" s="14"/>
      <c r="O131" s="51"/>
      <c r="P131" s="51"/>
      <c r="Q131" s="51"/>
    </row>
    <row r="132" spans="1:17" ht="13" x14ac:dyDescent="0.3">
      <c r="A132" s="394"/>
      <c r="B132" s="394"/>
      <c r="C132" s="394"/>
      <c r="D132" s="394"/>
      <c r="E132" s="394"/>
      <c r="F132" s="18"/>
      <c r="G132" s="39"/>
      <c r="H132" s="74"/>
      <c r="I132" s="74"/>
      <c r="J132" s="74"/>
      <c r="K132" s="74"/>
      <c r="L132" s="14"/>
      <c r="M132" s="14"/>
      <c r="N132" s="14"/>
      <c r="O132" s="51"/>
      <c r="P132" s="51"/>
      <c r="Q132" s="51"/>
    </row>
    <row r="133" spans="1:17" ht="13" x14ac:dyDescent="0.3">
      <c r="A133" s="73"/>
      <c r="B133" s="73"/>
      <c r="C133" s="73"/>
      <c r="D133" s="73"/>
      <c r="E133" s="73"/>
      <c r="F133" s="18"/>
      <c r="G133" s="39"/>
      <c r="H133" s="74"/>
      <c r="I133" s="74"/>
      <c r="J133" s="74"/>
      <c r="K133" s="74"/>
      <c r="L133" s="14"/>
      <c r="M133" s="14"/>
      <c r="N133" s="14"/>
      <c r="O133" s="51"/>
      <c r="P133" s="51"/>
      <c r="Q133" s="51"/>
    </row>
    <row r="134" spans="1:17" ht="13" x14ac:dyDescent="0.3">
      <c r="A134" s="73"/>
      <c r="B134" s="73"/>
      <c r="C134" s="73"/>
      <c r="D134" s="73"/>
      <c r="E134" s="73"/>
      <c r="F134" s="18"/>
      <c r="G134" s="39"/>
      <c r="H134" s="74"/>
      <c r="I134" s="74"/>
      <c r="J134" s="74"/>
      <c r="K134" s="74"/>
      <c r="L134" s="14"/>
      <c r="M134" s="14"/>
      <c r="N134" s="14"/>
      <c r="O134" s="51"/>
      <c r="P134" s="51"/>
      <c r="Q134" s="51"/>
    </row>
    <row r="135" spans="1:17" ht="13" x14ac:dyDescent="0.3">
      <c r="A135" s="73"/>
      <c r="B135" s="73"/>
      <c r="C135" s="73"/>
      <c r="D135" s="73"/>
      <c r="E135" s="73"/>
      <c r="F135" s="18"/>
      <c r="G135" s="39"/>
      <c r="H135" s="74"/>
      <c r="I135" s="74"/>
      <c r="J135" s="74"/>
      <c r="K135" s="74"/>
      <c r="L135" s="14"/>
      <c r="M135" s="14"/>
      <c r="N135" s="14"/>
      <c r="O135" s="51"/>
      <c r="P135" s="51"/>
      <c r="Q135" s="51"/>
    </row>
    <row r="136" spans="1:17" ht="13.5" thickBot="1" x14ac:dyDescent="0.35">
      <c r="A136" s="75"/>
      <c r="B136" s="67"/>
      <c r="C136" s="67"/>
      <c r="D136" s="67"/>
      <c r="E136" s="67"/>
      <c r="F136" s="18"/>
      <c r="G136" s="39"/>
      <c r="H136" s="74"/>
      <c r="I136" s="74"/>
      <c r="J136" s="74"/>
      <c r="K136" s="74"/>
      <c r="L136" s="14"/>
      <c r="M136" s="14"/>
      <c r="N136" s="14"/>
      <c r="O136" s="51"/>
      <c r="P136" s="51"/>
      <c r="Q136" s="51"/>
    </row>
    <row r="137" spans="1:17" ht="15" x14ac:dyDescent="0.3">
      <c r="A137" s="1137" t="s">
        <v>338</v>
      </c>
      <c r="B137" s="1138"/>
      <c r="C137" s="1138"/>
      <c r="D137" s="1139"/>
      <c r="E137" s="76"/>
      <c r="F137" s="1140" t="s">
        <v>339</v>
      </c>
      <c r="G137" s="1141"/>
      <c r="H137" s="1141"/>
      <c r="I137" s="1142"/>
      <c r="J137" s="14"/>
      <c r="K137" s="1143"/>
      <c r="L137" s="1143"/>
      <c r="M137" s="1143"/>
      <c r="N137" s="1143"/>
      <c r="P137" s="51"/>
      <c r="Q137" s="51"/>
    </row>
    <row r="138" spans="1:17" ht="13" x14ac:dyDescent="0.3">
      <c r="A138" s="77"/>
      <c r="B138" s="78">
        <f>IF(A139&lt;=$A$127,$A$126,IF(A139&lt;=$A$128,$A$127,IF(A139&lt;=$A$129,$A$128,IF(A139&lt;=$A$130,$A$129,IF(A139&lt;=$A$132,$A$130,IF(A139&lt;=$A$133,$A$132,IF(A139&lt;=$A$134,$A$133,IF(A139&lt;=$A$135,$A$134))))))))</f>
        <v>30</v>
      </c>
      <c r="C138" s="78"/>
      <c r="D138" s="79">
        <f>IF(A139&lt;=$A$127,$B$126,IF(A139&lt;=$A$128,$B$127,IF(A139&lt;=$A$129,$B$128,IF(A139&lt;=$A$130,$B$129,IF(A139&lt;=$A$132,$B$130,IF(A139&lt;=$A$133,$B$132,IF(A139&lt;=$A$134,$B$133,IF(A139&lt;=$A$135,$B$134))))))))</f>
        <v>1.0000000000000001E-5</v>
      </c>
      <c r="E138" s="14"/>
      <c r="F138" s="77"/>
      <c r="G138" s="78">
        <f>IF(F139&lt;=$A$127,$A$126,IF(F139&lt;=$A$128,$A$127,IF(F139&lt;=$A$129,$A$128,IF(F139&lt;=$A$130,$A$129,IF(F139&lt;=$A$132,$A$130,IF(F139&lt;=$A$133,$A$132,IF(F139&lt;=$A$134,$A$133,IF(F139&lt;=$A$135,$A$134))))))))</f>
        <v>30</v>
      </c>
      <c r="H138" s="78"/>
      <c r="I138" s="80">
        <f>IF(F139&lt;=$A$127,$E$126,IF(F139&lt;=$A$128,$E$127,IF(F139&lt;=$A$129,$E$128,IF(F139&lt;=$A$130,$E$129,IF(F139&lt;=$A$132,$D$130,IF(F139&lt;=$A$133,$D$132,IF(F139&lt;=$A$134,$D$133,IF(F139&lt;=$A$135,$D$134))))))))</f>
        <v>1.0000000000000001E-5</v>
      </c>
      <c r="J138" s="14"/>
      <c r="K138" s="68"/>
      <c r="L138" s="81"/>
      <c r="M138" s="81"/>
      <c r="N138" s="82"/>
      <c r="P138" s="51"/>
      <c r="Q138" s="51"/>
    </row>
    <row r="139" spans="1:17" ht="13" x14ac:dyDescent="0.3">
      <c r="A139" s="83">
        <f>B156</f>
        <v>30</v>
      </c>
      <c r="B139" s="78"/>
      <c r="C139" s="84">
        <f>((A139-B138)/(B140-B138)*(D140-D138)+D138)</f>
        <v>1.0000000000000001E-5</v>
      </c>
      <c r="D139" s="79"/>
      <c r="E139" s="14"/>
      <c r="F139" s="83">
        <f>B156</f>
        <v>30</v>
      </c>
      <c r="G139" s="78"/>
      <c r="H139" s="84">
        <f>((F139-G138)/(G140-G138)*(I140-I138)+I138)</f>
        <v>1.0000000000000001E-5</v>
      </c>
      <c r="I139" s="80"/>
      <c r="J139" s="14"/>
      <c r="K139" s="69"/>
      <c r="L139" s="81"/>
      <c r="M139" s="85"/>
      <c r="N139" s="82"/>
      <c r="P139" s="51"/>
      <c r="Q139" s="51"/>
    </row>
    <row r="140" spans="1:17" ht="13.5" thickBot="1" x14ac:dyDescent="0.35">
      <c r="A140" s="77"/>
      <c r="B140" s="78">
        <f>IF(A139&lt;=$A$127,$A$127,IF(A139&lt;=$A$128,$A$128,IF(A139&lt;=$A$129,$A$129,IF(A139&lt;=$A$130,$A$130,IF(A139&lt;=$A$132,$A$132,IF(A139&lt;=$A$133,$A$133,IF(A139&lt;=$A$134,$A$134,IF(A139&lt;=$A$135,$A$135))))))))</f>
        <v>60</v>
      </c>
      <c r="C140" s="78"/>
      <c r="D140" s="79">
        <f>IF(A139&lt;=$A$127,$B$127,IF(A139&lt;=$A$128,$B$128,IF(A139&lt;=$A$129,$B$129,IF(A139&lt;=$A$130,$B$130,IF(A139&lt;=$A$132,$B$132,IF(A139&lt;=$A$133,$B$133,IF(A139&lt;=$A$134,$B$134,IF(A139&lt;=$A$135,$B$135))))))))</f>
        <v>0</v>
      </c>
      <c r="E140" s="14"/>
      <c r="F140" s="77"/>
      <c r="G140" s="78">
        <f>IF(F139&lt;=$A$127,$A$127,IF(F139&lt;=$A$128,$A$128,IF(F139&lt;=$A$129,$A$129,IF(F139&lt;=$A$130,$A$130,IF(F139&lt;=$A$132,$A$132,IF(F139&lt;=$A$133,$A$133,IF(F139&lt;=$A$134,$A$134,IF(F139&lt;=$A$135,$A$135))))))))</f>
        <v>60</v>
      </c>
      <c r="H140" s="78"/>
      <c r="I140" s="80">
        <f>IF(F139&lt;=$A$127,$E$127,IF(F139&lt;=$A$128,$E$128,IF(F139&lt;=$A$129,$E$129,IF(F139&lt;=$A$130,$D$130,IF(F139&lt;=$A$132,$D$132,IF(F139&lt;=$A$133,$D$133,IF(F139&lt;=$A$134,$D$134,IF(F139&lt;=$A$135,$D$135))))))))</f>
        <v>1.0000000000000001E-5</v>
      </c>
      <c r="J140" s="14"/>
      <c r="K140" s="68"/>
      <c r="L140" s="81"/>
      <c r="M140" s="81"/>
      <c r="N140" s="82"/>
      <c r="P140" s="51"/>
      <c r="Q140" s="51"/>
    </row>
    <row r="141" spans="1:17" ht="15" x14ac:dyDescent="0.3">
      <c r="A141" s="1137" t="s">
        <v>338</v>
      </c>
      <c r="B141" s="1138"/>
      <c r="C141" s="1138"/>
      <c r="D141" s="1139"/>
      <c r="E141" s="14"/>
      <c r="F141" s="1140" t="s">
        <v>339</v>
      </c>
      <c r="G141" s="1141"/>
      <c r="H141" s="1141"/>
      <c r="I141" s="1142"/>
      <c r="J141" s="14"/>
      <c r="K141" s="1143"/>
      <c r="L141" s="1143"/>
      <c r="M141" s="1143"/>
      <c r="N141" s="1143"/>
      <c r="P141" s="51"/>
      <c r="Q141" s="51"/>
    </row>
    <row r="142" spans="1:17" ht="13" x14ac:dyDescent="0.3">
      <c r="A142" s="77"/>
      <c r="B142" s="78">
        <f>IF(A143&lt;=$A$127,$A$126,IF(A143&lt;=$A$128,$A$127,IF(A143&lt;=$A$129,$A$128,IF(A143&lt;=$A$130,$A$129,IF(A143&lt;=$A$132,$A$130,IF(A143&lt;=$A$133,$A$132,IF(A143&lt;=$A$134,$A$133,IF(A143&lt;=$A$135,$A$134))))))))</f>
        <v>30</v>
      </c>
      <c r="C142" s="78"/>
      <c r="D142" s="79">
        <f>IF(A143&lt;=$A$127,$B$126,IF(A143&lt;=$A$128,$B$127,IF(A143&lt;=$A$129,$B$128,IF(A143&lt;=$A$130,$B$129,IF(A143&lt;=$A$132,$B$130,IF(A143&lt;=$A$133,$B$132,IF(A143&lt;=$A$134,$B$133,IF(A143&lt;=$A$135,$B$134))))))))</f>
        <v>1.0000000000000001E-5</v>
      </c>
      <c r="E142" s="14"/>
      <c r="F142" s="77"/>
      <c r="G142" s="78">
        <f>IF(F143&lt;=$A$127,$A$126,IF(F143&lt;=$A$128,$A$127,IF(F143&lt;=$A$129,$A$128,IF(F143&lt;=$A$130,$A$129,IF(F143&lt;=$A$132,$A$130,IF(F143&lt;=$A$133,$A$132,IF(F143&lt;=$A$134,$A$133,IF(F143&lt;=$A$135,$A$134))))))))</f>
        <v>30</v>
      </c>
      <c r="H142" s="78"/>
      <c r="I142" s="80">
        <f>IF(F143&lt;=$A$127,$E$126,IF(F143&lt;=$A$128,$E$127,IF(F143&lt;=$A$129,$E$128,IF(F143&lt;=$A$130,$E$129,IF(F143&lt;=$A$132,$D$130,IF(F143&lt;=$A$133,$D$132,IF(F143&lt;=$A$134,$D$133,IF(F143&lt;=$A$135,$D$134))))))))</f>
        <v>1.0000000000000001E-5</v>
      </c>
      <c r="J142" s="14"/>
      <c r="K142" s="68"/>
      <c r="L142" s="81"/>
      <c r="M142" s="81"/>
      <c r="N142" s="82"/>
      <c r="P142" s="51"/>
      <c r="Q142" s="51"/>
    </row>
    <row r="143" spans="1:17" ht="13" x14ac:dyDescent="0.3">
      <c r="A143" s="83">
        <f>B157</f>
        <v>60</v>
      </c>
      <c r="B143" s="78"/>
      <c r="C143" s="84">
        <f>((A143-B142)/(B144-B142)*(D144-D142)+D142)</f>
        <v>0</v>
      </c>
      <c r="D143" s="79"/>
      <c r="E143" s="14"/>
      <c r="F143" s="83">
        <f>B157</f>
        <v>60</v>
      </c>
      <c r="G143" s="78"/>
      <c r="H143" s="84">
        <f>((F143-G142)/(G144-G142)*(I144-I142)+I142)</f>
        <v>1.0000000000000001E-5</v>
      </c>
      <c r="I143" s="80"/>
      <c r="J143" s="14"/>
      <c r="K143" s="69"/>
      <c r="L143" s="81"/>
      <c r="M143" s="85"/>
      <c r="N143" s="82"/>
      <c r="P143" s="51"/>
      <c r="Q143" s="51"/>
    </row>
    <row r="144" spans="1:17" ht="13.5" thickBot="1" x14ac:dyDescent="0.35">
      <c r="A144" s="77"/>
      <c r="B144" s="78">
        <f>IF(A143&lt;=$A$127,$A$127,IF(A143&lt;=$A$128,$A$128,IF(A143&lt;=$A$129,$A$129,IF(A143&lt;=$A$130,$A$130,IF(A143&lt;=$A$132,$A$132,IF(A143&lt;=$A$133,$A$133,IF(A143&lt;=$A$134,$A$134,IF(A143&lt;=$A$135,$A$135))))))))</f>
        <v>60</v>
      </c>
      <c r="C144" s="78"/>
      <c r="D144" s="79">
        <f>IF(A143&lt;=$A$127,$B$127,IF(A143&lt;=$A$128,$B$128,IF(A143&lt;=$A$129,$B$129,IF(A143&lt;=$A$130,$B$130,IF(A143&lt;=$A$132,$B$132,IF(A143&lt;=$A$133,$B$133,IF(A143&lt;=$A$134,$B$134,IF(A143&lt;=$A$135,$B$135))))))))</f>
        <v>0</v>
      </c>
      <c r="E144" s="14"/>
      <c r="F144" s="77"/>
      <c r="G144" s="78">
        <f>IF(F143&lt;=$A$127,$A$127,IF(F143&lt;=$A$128,$A$128,IF(F143&lt;=$A$129,$A$129,IF(F143&lt;=$A$130,$A$130,IF(F143&lt;=$A$132,$A$132,IF(F143&lt;=$A$133,$A$133,IF(F143&lt;=$A$134,$A$134,IF(F143&lt;=$A$135,$A$135))))))))</f>
        <v>60</v>
      </c>
      <c r="H144" s="78"/>
      <c r="I144" s="80">
        <f>IF(F143&lt;=$A$127,$E$127,IF(F143&lt;=$A$128,$E$128,IF(F143&lt;=$A$129,$E$129,IF(F143&lt;=$A$130,$D$130,IF(F143&lt;=$A$132,$D$132,IF(F143&lt;=$A$133,$D$133,IF(F143&lt;=$A$134,$D$134,IF(F143&lt;=$A$135,$D$135))))))))</f>
        <v>1.0000000000000001E-5</v>
      </c>
      <c r="J144" s="14"/>
      <c r="K144" s="68"/>
      <c r="L144" s="81"/>
      <c r="M144" s="81"/>
      <c r="N144" s="82"/>
      <c r="P144" s="51"/>
      <c r="Q144" s="51"/>
    </row>
    <row r="145" spans="1:17" ht="15" x14ac:dyDescent="0.3">
      <c r="A145" s="1137" t="s">
        <v>338</v>
      </c>
      <c r="B145" s="1138"/>
      <c r="C145" s="1138"/>
      <c r="D145" s="1139"/>
      <c r="E145" s="14"/>
      <c r="F145" s="1140" t="s">
        <v>339</v>
      </c>
      <c r="G145" s="1141"/>
      <c r="H145" s="1141"/>
      <c r="I145" s="1142"/>
      <c r="J145" s="14"/>
      <c r="K145" s="1143"/>
      <c r="L145" s="1143"/>
      <c r="M145" s="1143"/>
      <c r="N145" s="1143"/>
      <c r="P145" s="51"/>
      <c r="Q145" s="51"/>
    </row>
    <row r="146" spans="1:17" ht="13" x14ac:dyDescent="0.3">
      <c r="A146" s="77"/>
      <c r="B146" s="78">
        <f>IF(A147&lt;=$A$127,$A$126,IF(A147&lt;=$A$128,$A$127,IF(A147&lt;=$A$129,$A$128,IF(A147&lt;=$A$130,$A$129,IF(A147&lt;=$A$132,$A$130,IF(A147&lt;=$A$133,$A$132,IF(A147&lt;=$A$134,$A$133,IF(A147&lt;=$A$135,$A$134))))))))</f>
        <v>60</v>
      </c>
      <c r="C146" s="78"/>
      <c r="D146" s="79">
        <f>IF(A147&lt;=$A$127,$B$126,IF(A147&lt;=$A$128,$B$127,IF(A147&lt;=$A$129,$B$128,IF(A147&lt;=$A$130,$B$129,IF(A147&lt;=$A$132,$B$130,IF(A147&lt;=$A$133,$B$132,IF(A147&lt;=$A$134,$B$133,IF(A147&lt;=$A$135,$B$134))))))))</f>
        <v>0</v>
      </c>
      <c r="E146" s="14"/>
      <c r="F146" s="77"/>
      <c r="G146" s="78">
        <f>IF(F147&lt;=$A$127,$A$126,IF(F147&lt;=$A$128,$A$127,IF(F147&lt;=$A$129,$A$128,IF(F147&lt;=$A$130,$A$129,IF(F147&lt;=$A$132,$A$130,IF(F147&lt;=$A$133,$A$132,IF(F147&lt;=$A$134,$A$133,IF(F147&lt;=$A$135,$A$134))))))))</f>
        <v>60</v>
      </c>
      <c r="H146" s="78"/>
      <c r="I146" s="80">
        <f>IF(F147&lt;=$A$127,$E$126,IF(F147&lt;=$A$128,$E$127,IF(F147&lt;=$A$129,$E$128,IF(F147&lt;=$A$130,$E$129,IF(F147&lt;=$A$132,$D$130,IF(F147&lt;=$A$133,$D$132,IF(F147&lt;=$A$134,$D$133,IF(F147&lt;=$A$135,$D$134))))))))</f>
        <v>1.0000000000000001E-5</v>
      </c>
      <c r="J146" s="14"/>
      <c r="K146" s="68"/>
      <c r="L146" s="81"/>
      <c r="M146" s="81"/>
      <c r="N146" s="82"/>
      <c r="P146" s="51"/>
      <c r="Q146" s="51"/>
    </row>
    <row r="147" spans="1:17" ht="13" x14ac:dyDescent="0.3">
      <c r="A147" s="83">
        <f>B158</f>
        <v>120</v>
      </c>
      <c r="B147" s="78"/>
      <c r="C147" s="84">
        <f>(A147-B146)/(B148-B146)*(D148-D146)+D146</f>
        <v>0</v>
      </c>
      <c r="D147" s="79"/>
      <c r="E147" s="14"/>
      <c r="F147" s="83">
        <f>B158</f>
        <v>120</v>
      </c>
      <c r="G147" s="78"/>
      <c r="H147" s="84">
        <f>((F147-G146)/(G148-G146)*(I148-I146)+I146)</f>
        <v>0.03</v>
      </c>
      <c r="I147" s="80"/>
      <c r="J147" s="14"/>
      <c r="K147" s="69"/>
      <c r="L147" s="81"/>
      <c r="M147" s="85"/>
      <c r="N147" s="82"/>
      <c r="P147" s="51"/>
      <c r="Q147" s="51"/>
    </row>
    <row r="148" spans="1:17" ht="13.5" thickBot="1" x14ac:dyDescent="0.35">
      <c r="A148" s="77"/>
      <c r="B148" s="78">
        <f>IF(A147&lt;=$A$127,$A$127,IF(A147&lt;=$A$128,$A$128,IF(A147&lt;=$A$129,$A$129,IF(A147&lt;=$A$130,$A$130,IF(A147&lt;=$A$132,$A$132,IF(A147&lt;=$A$133,$A$133,IF(A147&lt;=$A$134,$A$134,IF(A147&lt;=$A$135,$A$135))))))))</f>
        <v>120</v>
      </c>
      <c r="C148" s="78"/>
      <c r="D148" s="79">
        <f>IF(A147&lt;=$A$127,$B$127,IF(A147&lt;=$A$128,$B$128,IF(A147&lt;=$A$129,$B$129,IF(A147&lt;=$A$130,$B$130,IF(A147&lt;=$A$132,$B$132,IF(A147&lt;=$A$133,$B$133,IF(A147&lt;=$A$134,$B$134,IF(A147&lt;=$A$135,$B$135))))))))</f>
        <v>0</v>
      </c>
      <c r="E148" s="14"/>
      <c r="F148" s="77"/>
      <c r="G148" s="78">
        <f>IF(F147&lt;=$A$127,$A$127,IF(F147&lt;=$A$128,$A$128,IF(F147&lt;=$A$129,$A$129,IF(F147&lt;=$A$130,$A$130,IF(F147&lt;=$A$132,$A$132,IF(F147&lt;=$A$133,$A$133,IF(F147&lt;=$A$134,$A$134,IF(F147&lt;=$A$135,$A$135))))))))</f>
        <v>120</v>
      </c>
      <c r="H148" s="78"/>
      <c r="I148" s="80">
        <f>IF(F147&lt;=$A$127,$E$127,IF(F147&lt;=$A$128,$E$128,IF(F147&lt;=$A$129,$E$129,IF(F147&lt;=$A$130,$D$130,IF(F147&lt;=$A$132,$D$132,IF(F147&lt;=$A$133,$D$133,IF(F147&lt;=$A$134,$D$134,IF(F147&lt;=$A$135,$D$135))))))))</f>
        <v>0.03</v>
      </c>
      <c r="J148" s="14"/>
      <c r="K148" s="68"/>
      <c r="L148" s="81"/>
      <c r="M148" s="81"/>
      <c r="N148" s="82"/>
      <c r="P148" s="51"/>
      <c r="Q148" s="51"/>
    </row>
    <row r="149" spans="1:17" ht="15" x14ac:dyDescent="0.3">
      <c r="A149" s="1137" t="s">
        <v>338</v>
      </c>
      <c r="B149" s="1138"/>
      <c r="C149" s="1138"/>
      <c r="D149" s="1139"/>
      <c r="E149" s="76"/>
      <c r="F149" s="1140" t="s">
        <v>339</v>
      </c>
      <c r="G149" s="1141"/>
      <c r="H149" s="1141"/>
      <c r="I149" s="1142"/>
      <c r="J149" s="14"/>
      <c r="K149" s="68"/>
      <c r="L149" s="81"/>
      <c r="M149" s="81"/>
      <c r="N149" s="82"/>
      <c r="P149" s="51"/>
      <c r="Q149" s="51"/>
    </row>
    <row r="150" spans="1:17" ht="13" x14ac:dyDescent="0.3">
      <c r="A150" s="77"/>
      <c r="B150" s="78">
        <f>IF(A151&lt;=$A$127,$A$126,IF(A151&lt;=$A$128,$A$127,IF(A151&lt;=$A$129,$A$128,IF(A151&lt;=$A$130,$A$129,IF(A151&lt;=$A$132,$A$130,IF(A151&lt;=$A$133,$A$132,IF(A151&lt;=$A$134,$A$133,IF(A151&lt;=$A$135,$A$134))))))))</f>
        <v>120</v>
      </c>
      <c r="C150" s="78"/>
      <c r="D150" s="80">
        <f>IF(A151&lt;=$A$127,$B$126,IF(A151&lt;=$A$128,$B$127,IF(A151&lt;=$A$129,$B$128,IF(A151&lt;=$A$130,$B$129,IF(A151&lt;=$A$132,$B$130,IF(A151&lt;=$A$133,$B$132,IF(A151&lt;=$A$134,$B$133,IF(A151&lt;=$A$135,$B$134))))))))</f>
        <v>0</v>
      </c>
      <c r="E150" s="14"/>
      <c r="F150" s="77"/>
      <c r="G150" s="78">
        <f>IF(F151&lt;=$A$127,$A$126,IF(F151&lt;=$A$128,$A$127,IF(F151&lt;=$A$129,$A$128,IF(F151&lt;=$A$130,$A$129,IF(F151&lt;=$A$132,$A$130,IF(F151&lt;=$A$133,$A$132,IF(F151&lt;=$A$134,$A$133,IF(F151&lt;=$A$135,$A$134))))))))</f>
        <v>120</v>
      </c>
      <c r="H150" s="78"/>
      <c r="I150" s="80">
        <f>IF(F151&lt;=$A$127,$E$126,IF(F151&lt;=$A$128,$E$127,IF(F151&lt;=$A$129,$E$128,IF(F151&lt;=$A$130,$E$129,IF(F151&lt;=$A$132,$D$130,IF(F151&lt;=$A$133,$D$132,IF(F151&lt;=$A$134,$D$133,IF(F151&lt;=$A$135,$D$134))))))))</f>
        <v>0.03</v>
      </c>
      <c r="J150" s="14"/>
      <c r="K150" s="68"/>
      <c r="L150" s="81"/>
      <c r="M150" s="81"/>
      <c r="N150" s="82"/>
      <c r="P150" s="51"/>
      <c r="Q150" s="51"/>
    </row>
    <row r="151" spans="1:17" ht="13" x14ac:dyDescent="0.3">
      <c r="A151" s="83">
        <f>B159</f>
        <v>180</v>
      </c>
      <c r="B151" s="78"/>
      <c r="C151" s="84">
        <f>((A151-B150)/(B152-B150)*(D152-D150)+D150)</f>
        <v>0</v>
      </c>
      <c r="D151" s="79"/>
      <c r="E151" s="14"/>
      <c r="F151" s="83">
        <f>B159</f>
        <v>180</v>
      </c>
      <c r="G151" s="78"/>
      <c r="H151" s="84">
        <f>((F151-G150)/(G152-G150)*(I152-I150)+I150)</f>
        <v>9.9999999999995925E-6</v>
      </c>
      <c r="I151" s="80"/>
      <c r="J151" s="14"/>
      <c r="K151" s="68"/>
      <c r="L151" s="81"/>
      <c r="M151" s="81"/>
      <c r="N151" s="82"/>
      <c r="P151" s="51"/>
      <c r="Q151" s="51"/>
    </row>
    <row r="152" spans="1:17" ht="13.5" thickBot="1" x14ac:dyDescent="0.35">
      <c r="A152" s="86"/>
      <c r="B152" s="87">
        <f>IF(A151&lt;=$A$127,$A$127,IF(A151&lt;=$A$128,$A$128,IF(A151&lt;=$A$129,$A$129,IF(A151&lt;=$A$130,$A$130,IF(A151&lt;=$A$132,$A$132,IF(A151&lt;=$A$133,$A$133,IF(A151&lt;=$A$134,$A$134,IF(A151&lt;=$A$135,$A$135))))))))</f>
        <v>180</v>
      </c>
      <c r="C152" s="87"/>
      <c r="D152" s="88">
        <f>IF(A151&lt;=$A$127,$B$127,IF(A151&lt;=$A$128,$B$128,IF(A151&lt;=$A$129,$B$129,IF(A151&lt;=$A$130,$B$130,IF(A151&lt;=$A$132,$B$132,IF(A151&lt;=$A$133,$B$133,IF(A151&lt;=$A$134,$B$134,IF(A151&lt;=$A$135,$B$135))))))))</f>
        <v>0</v>
      </c>
      <c r="E152" s="14"/>
      <c r="F152" s="86"/>
      <c r="G152" s="87">
        <f>IF(F151&lt;=$A$127,$A$127,IF(F151&lt;=$A$128,$A$128,IF(F151&lt;=$A$129,$A$129,IF(F151&lt;=$A$130,$A$130,IF(F151&lt;=$A$132,$A$132,IF(F151&lt;=$A$133,$A$133,IF(F151&lt;=$A$134,$A$134,IF(F151&lt;=$A$135,$A$135))))))))</f>
        <v>180</v>
      </c>
      <c r="H152" s="87"/>
      <c r="I152" s="89">
        <f>IF(F151&lt;=$A$127,$E$127,IF(F151&lt;=$A$128,$E$128,IF(F151&lt;=$A$129,$E$129,IF(F151&lt;=$A$130,$D$130,IF(F151&lt;=$A$132,$D$132,IF(F151&lt;=$A$133,$D$133,IF(F151&lt;=$A$134,$D$134,IF(F151&lt;=$A$135,$D$135))))))))</f>
        <v>1.0000000000000001E-5</v>
      </c>
      <c r="J152" s="14"/>
      <c r="K152" s="68"/>
      <c r="L152" s="81"/>
      <c r="M152" s="81"/>
      <c r="N152" s="82"/>
      <c r="P152" s="51"/>
      <c r="Q152" s="51"/>
    </row>
    <row r="153" spans="1:17" ht="13" x14ac:dyDescent="0.3">
      <c r="A153" s="113"/>
      <c r="B153" s="81"/>
      <c r="C153" s="81"/>
      <c r="D153" s="81"/>
      <c r="E153" s="14"/>
      <c r="F153" s="68"/>
      <c r="G153" s="81"/>
      <c r="H153" s="81"/>
      <c r="I153" s="82"/>
      <c r="J153" s="14"/>
      <c r="K153" s="68"/>
      <c r="L153" s="81"/>
      <c r="M153" s="81"/>
      <c r="N153" s="82"/>
      <c r="P153" s="51"/>
      <c r="Q153" s="51"/>
    </row>
    <row r="154" spans="1:17" ht="13.5" thickBot="1" x14ac:dyDescent="0.35">
      <c r="A154" s="76"/>
      <c r="B154" s="314"/>
      <c r="C154" s="14"/>
      <c r="D154" s="14"/>
      <c r="E154" s="14"/>
      <c r="F154" s="14"/>
      <c r="G154" s="14"/>
      <c r="H154" s="14"/>
      <c r="I154" s="14"/>
      <c r="J154" s="14"/>
      <c r="P154" s="114"/>
      <c r="Q154" s="51"/>
    </row>
    <row r="155" spans="1:17" ht="29.5" customHeight="1" thickBot="1" x14ac:dyDescent="0.3">
      <c r="A155" s="681" t="s">
        <v>370</v>
      </c>
      <c r="B155" s="682" t="s">
        <v>371</v>
      </c>
      <c r="C155" s="682" t="s">
        <v>325</v>
      </c>
      <c r="D155" s="682" t="s">
        <v>300</v>
      </c>
      <c r="E155" s="685" t="s">
        <v>301</v>
      </c>
      <c r="F155" s="685" t="s">
        <v>100</v>
      </c>
      <c r="G155" s="685" t="s">
        <v>101</v>
      </c>
      <c r="H155" s="822" t="s">
        <v>326</v>
      </c>
      <c r="I155" s="683" t="s">
        <v>327</v>
      </c>
      <c r="J155" s="684" t="s">
        <v>328</v>
      </c>
    </row>
    <row r="156" spans="1:17" ht="13" thickBot="1" x14ac:dyDescent="0.3">
      <c r="A156" s="396">
        <f>ID!D37</f>
        <v>30</v>
      </c>
      <c r="B156" s="405">
        <f>AVERAGE(ID!E37:J37)</f>
        <v>30</v>
      </c>
      <c r="C156" s="397">
        <f>C139</f>
        <v>1.0000000000000001E-5</v>
      </c>
      <c r="D156" s="408">
        <f>B156+C156</f>
        <v>30.00001</v>
      </c>
      <c r="E156" s="397">
        <f>STDEV(ID!E37:J37)</f>
        <v>0</v>
      </c>
      <c r="F156" s="649">
        <f>IF(A156-D156=0,0.00001,A156-D156)</f>
        <v>-9.9999999996214228E-6</v>
      </c>
      <c r="G156" s="397">
        <f>(F156/A156)*100</f>
        <v>-3.3333333332071412E-5</v>
      </c>
      <c r="H156" s="1166">
        <f>FORECAST(D156,$F$126:$F$130,$A$126:$A$130)</f>
        <v>1.8600006000000016E-2</v>
      </c>
      <c r="I156" s="1146">
        <f>0.5*1</f>
        <v>0.5</v>
      </c>
      <c r="J156" s="824">
        <f>FORECAST(D156,$E$126:$E$130,$A$126:$A$130)</f>
        <v>1.4729279264634144E-3</v>
      </c>
    </row>
    <row r="157" spans="1:17" ht="13" thickBot="1" x14ac:dyDescent="0.3">
      <c r="A157" s="204">
        <f>ID!D38</f>
        <v>60</v>
      </c>
      <c r="B157" s="406">
        <f>AVERAGE(ID!E38:J38)</f>
        <v>60</v>
      </c>
      <c r="C157" s="90">
        <f>C143</f>
        <v>0</v>
      </c>
      <c r="D157" s="393">
        <f>B157+C157</f>
        <v>60</v>
      </c>
      <c r="E157" s="649">
        <f>STDEV(ID!E38:J38)</f>
        <v>0</v>
      </c>
      <c r="F157" s="649">
        <f>IF(A157-D157=0,0.00001,A157-D157)</f>
        <v>1.0000000000000001E-5</v>
      </c>
      <c r="G157" s="649">
        <f t="shared" ref="G157:G160" si="1">(F157/A157)*100</f>
        <v>1.6666666666666667E-5</v>
      </c>
      <c r="H157" s="1166">
        <f>FORECAST(D157,$F$126:$F$130,$A$126:$A$130)</f>
        <v>3.6600000000000014E-2</v>
      </c>
      <c r="I157" s="1147"/>
      <c r="J157" s="824">
        <f t="shared" ref="J157:J160" si="2">FORECAST(D157,$E$126:$E$130,$A$126:$A$130)</f>
        <v>4.764512195121951E-3</v>
      </c>
    </row>
    <row r="158" spans="1:17" ht="13" thickBot="1" x14ac:dyDescent="0.3">
      <c r="A158" s="204">
        <f>ID!D39</f>
        <v>120</v>
      </c>
      <c r="B158" s="406">
        <f>AVERAGE(ID!E39:J39)</f>
        <v>120</v>
      </c>
      <c r="C158" s="90">
        <f>C147</f>
        <v>0</v>
      </c>
      <c r="D158" s="393">
        <f>B158+C158</f>
        <v>120</v>
      </c>
      <c r="E158" s="649">
        <f>STDEV(ID!E39:J39)</f>
        <v>0</v>
      </c>
      <c r="F158" s="649">
        <f>IF(A158-D158=0,0.00001,A158-D158)</f>
        <v>1.0000000000000001E-5</v>
      </c>
      <c r="G158" s="649">
        <f t="shared" si="1"/>
        <v>8.3333333333333337E-6</v>
      </c>
      <c r="H158" s="1166">
        <f t="shared" ref="H158:H160" si="3">FORECAST(D158,$F$126:$F$130,$A$126:$A$130)</f>
        <v>7.2600000000000012E-2</v>
      </c>
      <c r="I158" s="1147"/>
      <c r="J158" s="824">
        <f t="shared" si="2"/>
        <v>1.1347682926829267E-2</v>
      </c>
    </row>
    <row r="159" spans="1:17" ht="13" thickBot="1" x14ac:dyDescent="0.3">
      <c r="A159" s="204">
        <f>ID!D40</f>
        <v>180</v>
      </c>
      <c r="B159" s="406">
        <f>AVERAGE(ID!E40:J40)</f>
        <v>180</v>
      </c>
      <c r="C159" s="90">
        <f>C151</f>
        <v>0</v>
      </c>
      <c r="D159" s="393">
        <f>B159+C159</f>
        <v>180</v>
      </c>
      <c r="E159" s="649">
        <f>STDEV(ID!E40:J40)</f>
        <v>0</v>
      </c>
      <c r="F159" s="649">
        <f>IF(A159-D159=0,0.00001,A159-D159)</f>
        <v>1.0000000000000001E-5</v>
      </c>
      <c r="G159" s="649">
        <f t="shared" si="1"/>
        <v>5.5555555555555558E-6</v>
      </c>
      <c r="H159" s="1166">
        <f t="shared" si="3"/>
        <v>0.1086</v>
      </c>
      <c r="I159" s="1147"/>
      <c r="J159" s="824">
        <f t="shared" si="2"/>
        <v>1.7930853658536583E-2</v>
      </c>
    </row>
    <row r="160" spans="1:17" ht="13" thickBot="1" x14ac:dyDescent="0.3">
      <c r="A160" s="205">
        <f>ID!D41</f>
        <v>240</v>
      </c>
      <c r="B160" s="407">
        <f>AVERAGE(ID!E41:J41)</f>
        <v>240</v>
      </c>
      <c r="C160" s="91">
        <f>FORECAST(A160,B126:B130,A126:A130)</f>
        <v>-1.7073170731707315E-6</v>
      </c>
      <c r="D160" s="409">
        <f>B160+C160</f>
        <v>239.99999829268293</v>
      </c>
      <c r="E160" s="91">
        <f>STDEV(ID!E41:J41)</f>
        <v>0</v>
      </c>
      <c r="F160" s="649">
        <f>IF(A160-D160=0,0.0001,A160-D160)</f>
        <v>1.7073170681669581E-6</v>
      </c>
      <c r="G160" s="91">
        <f t="shared" si="1"/>
        <v>7.1138211173623256E-7</v>
      </c>
      <c r="H160" s="1166">
        <f t="shared" si="3"/>
        <v>0.14459999897560977</v>
      </c>
      <c r="I160" s="1148"/>
      <c r="J160" s="824">
        <f t="shared" si="2"/>
        <v>2.4514024202917907E-2</v>
      </c>
    </row>
    <row r="161" spans="1:27" ht="13" thickBot="1" x14ac:dyDescent="0.3"/>
    <row r="162" spans="1:27" ht="15" thickBot="1" x14ac:dyDescent="0.4">
      <c r="A162" s="92" t="str">
        <f>ID!B50</f>
        <v>Multiparameter Simulator, Merek : Fluke, Model : MPS 450, SN : 184633</v>
      </c>
      <c r="B162" s="93"/>
      <c r="C162" s="93"/>
      <c r="D162" s="93"/>
      <c r="E162" s="93"/>
      <c r="F162" s="93"/>
      <c r="G162" s="93"/>
      <c r="H162" s="93"/>
      <c r="I162" s="1159" t="s">
        <v>340</v>
      </c>
      <c r="J162" s="1160"/>
      <c r="K162" s="94"/>
      <c r="L162" s="1161" t="s">
        <v>372</v>
      </c>
      <c r="M162" s="1162"/>
      <c r="P162" s="1163">
        <f>A175</f>
        <v>4</v>
      </c>
      <c r="Q162" s="1164"/>
      <c r="R162" s="1164"/>
      <c r="S162" s="1164"/>
      <c r="T162" s="1164"/>
      <c r="U162" s="1164"/>
      <c r="V162" s="1164"/>
      <c r="W162" s="1164"/>
      <c r="X162" s="1164"/>
      <c r="Y162" s="1164"/>
      <c r="Z162" s="1164"/>
      <c r="AA162" s="1165"/>
    </row>
    <row r="163" spans="1:27" ht="13" x14ac:dyDescent="0.3">
      <c r="A163" s="652" t="s">
        <v>356</v>
      </c>
      <c r="B163" s="653"/>
      <c r="C163" s="653"/>
      <c r="D163" s="653"/>
      <c r="E163" s="653"/>
      <c r="F163" s="653"/>
      <c r="G163" s="653"/>
      <c r="H163" s="653"/>
      <c r="I163" s="654">
        <f>B5</f>
        <v>2020</v>
      </c>
      <c r="J163" s="654">
        <f>C5</f>
        <v>2018</v>
      </c>
      <c r="K163" s="655">
        <v>1</v>
      </c>
      <c r="L163" s="1157">
        <f>0.5*ID!$E$7</f>
        <v>0.5</v>
      </c>
      <c r="M163" s="1158"/>
      <c r="P163" s="676">
        <v>1</v>
      </c>
      <c r="Q163" s="677" t="s">
        <v>357</v>
      </c>
      <c r="R163" s="95"/>
      <c r="S163" s="95"/>
      <c r="T163" s="95"/>
      <c r="U163" s="95"/>
      <c r="V163" s="95"/>
      <c r="W163" s="95"/>
      <c r="X163" s="678"/>
      <c r="Y163" s="679"/>
      <c r="Z163" s="679"/>
      <c r="AA163" s="680"/>
    </row>
    <row r="164" spans="1:27" ht="13" x14ac:dyDescent="0.3">
      <c r="A164" s="652" t="s">
        <v>358</v>
      </c>
      <c r="B164" s="656"/>
      <c r="C164" s="656"/>
      <c r="D164" s="656"/>
      <c r="E164" s="656"/>
      <c r="F164" s="656"/>
      <c r="G164" s="656"/>
      <c r="H164" s="656"/>
      <c r="I164" s="650">
        <f>H5</f>
        <v>2017</v>
      </c>
      <c r="J164" s="650">
        <f>I5</f>
        <v>2018</v>
      </c>
      <c r="K164" s="657">
        <v>2</v>
      </c>
      <c r="L164" s="1157">
        <f>0.5*ID!$E$7</f>
        <v>0.5</v>
      </c>
      <c r="M164" s="1158"/>
      <c r="P164" s="676">
        <v>2</v>
      </c>
      <c r="Q164" s="677" t="s">
        <v>359</v>
      </c>
      <c r="R164" s="95"/>
      <c r="S164" s="95"/>
      <c r="T164" s="95"/>
      <c r="U164" s="95"/>
      <c r="V164" s="95"/>
      <c r="W164" s="95"/>
      <c r="X164" s="678"/>
      <c r="Y164" s="679"/>
      <c r="Z164" s="679"/>
      <c r="AA164" s="680"/>
    </row>
    <row r="165" spans="1:27" ht="13" x14ac:dyDescent="0.3">
      <c r="A165" s="652" t="s">
        <v>360</v>
      </c>
      <c r="B165" s="658"/>
      <c r="C165" s="658"/>
      <c r="D165" s="658"/>
      <c r="E165" s="658"/>
      <c r="F165" s="658"/>
      <c r="G165" s="658"/>
      <c r="H165" s="658"/>
      <c r="I165" s="650">
        <f>N5</f>
        <v>2016</v>
      </c>
      <c r="J165" s="650">
        <f>O5</f>
        <v>2015</v>
      </c>
      <c r="K165" s="655">
        <v>3</v>
      </c>
      <c r="L165" s="1157">
        <f>0.5*ID!$E$7</f>
        <v>0.5</v>
      </c>
      <c r="M165" s="1158"/>
      <c r="P165" s="676">
        <v>3</v>
      </c>
      <c r="Q165" s="677" t="s">
        <v>359</v>
      </c>
      <c r="R165" s="95"/>
      <c r="S165" s="95"/>
      <c r="T165" s="95"/>
      <c r="U165" s="95"/>
      <c r="V165" s="95"/>
      <c r="W165" s="95"/>
      <c r="X165" s="678"/>
      <c r="Y165" s="679"/>
      <c r="Z165" s="679"/>
      <c r="AA165" s="680"/>
    </row>
    <row r="166" spans="1:27" ht="13" x14ac:dyDescent="0.3">
      <c r="A166" s="652" t="s">
        <v>361</v>
      </c>
      <c r="B166" s="658"/>
      <c r="C166" s="658"/>
      <c r="D166" s="658"/>
      <c r="E166" s="658"/>
      <c r="F166" s="658"/>
      <c r="G166" s="658"/>
      <c r="H166" s="658"/>
      <c r="I166" s="650">
        <f>B18</f>
        <v>2017</v>
      </c>
      <c r="J166" s="650">
        <f>C18</f>
        <v>2014</v>
      </c>
      <c r="K166" s="657">
        <v>4</v>
      </c>
      <c r="L166" s="1157">
        <f>0.5*ID!$E$7</f>
        <v>0.5</v>
      </c>
      <c r="M166" s="1158"/>
      <c r="P166" s="676">
        <v>4</v>
      </c>
      <c r="Q166" s="677" t="s">
        <v>359</v>
      </c>
      <c r="R166" s="95"/>
      <c r="S166" s="95"/>
      <c r="T166" s="95"/>
      <c r="U166" s="95"/>
      <c r="V166" s="95"/>
      <c r="W166" s="95"/>
      <c r="X166" s="678"/>
      <c r="Y166" s="679"/>
      <c r="Z166" s="679"/>
      <c r="AA166" s="680"/>
    </row>
    <row r="167" spans="1:27" ht="13" x14ac:dyDescent="0.3">
      <c r="A167" s="652" t="s">
        <v>362</v>
      </c>
      <c r="B167" s="658"/>
      <c r="C167" s="658"/>
      <c r="D167" s="658"/>
      <c r="E167" s="658"/>
      <c r="F167" s="658"/>
      <c r="G167" s="658"/>
      <c r="H167" s="658"/>
      <c r="I167" s="650">
        <f>H18</f>
        <v>2020</v>
      </c>
      <c r="J167" s="650">
        <f>I18</f>
        <v>2017</v>
      </c>
      <c r="K167" s="655">
        <v>5</v>
      </c>
      <c r="L167" s="1157">
        <f>0.5*ID!$E$7</f>
        <v>0.5</v>
      </c>
      <c r="M167" s="1158"/>
      <c r="P167" s="676">
        <v>5</v>
      </c>
      <c r="Q167" s="677" t="s">
        <v>357</v>
      </c>
      <c r="R167" s="95"/>
      <c r="S167" s="95"/>
      <c r="T167" s="95"/>
      <c r="U167" s="95"/>
      <c r="V167" s="95"/>
      <c r="W167" s="95"/>
      <c r="X167" s="678"/>
      <c r="Y167" s="679"/>
      <c r="Z167" s="679"/>
      <c r="AA167" s="680"/>
    </row>
    <row r="168" spans="1:27" ht="13" x14ac:dyDescent="0.3">
      <c r="A168" s="652" t="s">
        <v>363</v>
      </c>
      <c r="B168" s="658"/>
      <c r="C168" s="658"/>
      <c r="D168" s="658"/>
      <c r="E168" s="658"/>
      <c r="F168" s="658"/>
      <c r="G168" s="658"/>
      <c r="H168" s="658"/>
      <c r="I168" s="650">
        <f>N18</f>
        <v>2020</v>
      </c>
      <c r="J168" s="650">
        <f>O18</f>
        <v>2017</v>
      </c>
      <c r="K168" s="657">
        <v>6</v>
      </c>
      <c r="L168" s="1157">
        <f>0.5*ID!$E$7</f>
        <v>0.5</v>
      </c>
      <c r="M168" s="1158"/>
      <c r="P168" s="676">
        <v>6</v>
      </c>
      <c r="Q168" s="677" t="s">
        <v>357</v>
      </c>
      <c r="R168" s="95"/>
      <c r="S168" s="95"/>
      <c r="T168" s="95"/>
      <c r="U168" s="95"/>
      <c r="V168" s="95"/>
      <c r="W168" s="95"/>
      <c r="X168" s="678"/>
      <c r="Y168" s="679"/>
      <c r="Z168" s="679"/>
      <c r="AA168" s="680"/>
    </row>
    <row r="169" spans="1:27" ht="13" x14ac:dyDescent="0.3">
      <c r="A169" s="659" t="s">
        <v>364</v>
      </c>
      <c r="B169" s="658"/>
      <c r="C169" s="658"/>
      <c r="D169" s="658"/>
      <c r="E169" s="658"/>
      <c r="F169" s="658"/>
      <c r="G169" s="658"/>
      <c r="H169" s="660"/>
      <c r="I169" s="661">
        <f>B32</f>
        <v>2020</v>
      </c>
      <c r="J169" s="650">
        <f>C32</f>
        <v>2018</v>
      </c>
      <c r="K169" s="655">
        <v>7</v>
      </c>
      <c r="L169" s="1157">
        <f>0.5*ID!$E$7</f>
        <v>0.5</v>
      </c>
      <c r="M169" s="1158"/>
      <c r="P169" s="676">
        <v>7</v>
      </c>
      <c r="Q169" s="677" t="s">
        <v>357</v>
      </c>
      <c r="R169" s="95"/>
      <c r="S169" s="95"/>
      <c r="T169" s="95"/>
      <c r="U169" s="95"/>
      <c r="V169" s="95"/>
      <c r="W169" s="95"/>
      <c r="X169" s="678"/>
      <c r="Y169" s="679"/>
      <c r="Z169" s="679"/>
      <c r="AA169" s="680"/>
    </row>
    <row r="170" spans="1:27" ht="13" x14ac:dyDescent="0.3">
      <c r="A170" s="662" t="s">
        <v>365</v>
      </c>
      <c r="B170" s="656"/>
      <c r="C170" s="656"/>
      <c r="D170" s="656"/>
      <c r="E170" s="656"/>
      <c r="F170" s="656"/>
      <c r="G170" s="656"/>
      <c r="H170" s="663"/>
      <c r="I170" s="650">
        <f>H32</f>
        <v>2020</v>
      </c>
      <c r="J170" s="650">
        <f>I32</f>
        <v>2020</v>
      </c>
      <c r="K170" s="655">
        <v>8</v>
      </c>
      <c r="L170" s="1157">
        <f>0.5*ID!$E$7</f>
        <v>0.5</v>
      </c>
      <c r="M170" s="1158"/>
      <c r="P170" s="676">
        <v>8</v>
      </c>
      <c r="Q170" s="677" t="s">
        <v>357</v>
      </c>
      <c r="R170" s="354"/>
      <c r="S170" s="354"/>
      <c r="T170" s="354"/>
      <c r="U170" s="354"/>
      <c r="V170" s="354"/>
      <c r="W170" s="354"/>
      <c r="X170" s="354"/>
      <c r="Y170" s="354"/>
      <c r="Z170" s="354"/>
      <c r="AA170" s="364"/>
    </row>
    <row r="171" spans="1:27" ht="13" x14ac:dyDescent="0.3">
      <c r="A171" s="664" t="s">
        <v>366</v>
      </c>
      <c r="B171" s="653"/>
      <c r="C171" s="653"/>
      <c r="D171" s="653"/>
      <c r="E171" s="653"/>
      <c r="F171" s="653"/>
      <c r="G171" s="653"/>
      <c r="H171" s="665"/>
      <c r="I171" s="650">
        <f>N32</f>
        <v>2020</v>
      </c>
      <c r="J171" s="650">
        <f>O32</f>
        <v>2020</v>
      </c>
      <c r="K171" s="657">
        <v>9</v>
      </c>
      <c r="L171" s="1157">
        <f>0.5*ID!$E$7</f>
        <v>0.5</v>
      </c>
      <c r="M171" s="1158"/>
      <c r="P171" s="676">
        <v>9</v>
      </c>
      <c r="Q171" s="677" t="s">
        <v>357</v>
      </c>
      <c r="R171" s="354"/>
      <c r="S171" s="354"/>
      <c r="T171" s="354"/>
      <c r="U171" s="354"/>
      <c r="V171" s="354"/>
      <c r="W171" s="354"/>
      <c r="X171" s="354"/>
      <c r="Y171" s="354"/>
      <c r="Z171" s="354"/>
      <c r="AA171" s="364"/>
    </row>
    <row r="172" spans="1:27" ht="13" x14ac:dyDescent="0.3">
      <c r="A172" s="666" t="s">
        <v>367</v>
      </c>
      <c r="B172" s="667"/>
      <c r="C172" s="667"/>
      <c r="D172" s="653"/>
      <c r="E172" s="653"/>
      <c r="F172" s="653"/>
      <c r="G172" s="653"/>
      <c r="H172" s="665"/>
      <c r="I172" s="650">
        <f>B45</f>
        <v>2018</v>
      </c>
      <c r="J172" s="650">
        <f>C45</f>
        <v>2016</v>
      </c>
      <c r="K172" s="655">
        <v>10</v>
      </c>
      <c r="L172" s="1157">
        <f>0.5*ID!$E$7</f>
        <v>0.5</v>
      </c>
      <c r="M172" s="1158"/>
      <c r="P172" s="676">
        <v>10</v>
      </c>
      <c r="Q172" s="677" t="s">
        <v>359</v>
      </c>
      <c r="R172" s="354"/>
      <c r="S172" s="354"/>
      <c r="T172" s="354"/>
      <c r="U172" s="354"/>
      <c r="V172" s="354"/>
      <c r="W172" s="354"/>
      <c r="X172" s="354"/>
      <c r="Y172" s="354"/>
      <c r="Z172" s="354"/>
      <c r="AA172" s="364"/>
    </row>
    <row r="173" spans="1:27" ht="13" x14ac:dyDescent="0.3">
      <c r="A173" s="668" t="s">
        <v>368</v>
      </c>
      <c r="B173" s="669"/>
      <c r="C173" s="669"/>
      <c r="D173" s="656"/>
      <c r="E173" s="656"/>
      <c r="F173" s="656"/>
      <c r="G173" s="656"/>
      <c r="H173" s="663"/>
      <c r="I173" s="650">
        <f>H45</f>
        <v>2018</v>
      </c>
      <c r="J173" s="670">
        <f>I45</f>
        <v>2018</v>
      </c>
      <c r="K173" s="655">
        <v>11</v>
      </c>
      <c r="L173" s="1157">
        <f>0.5*ID!$E$7</f>
        <v>0.5</v>
      </c>
      <c r="M173" s="1158"/>
      <c r="P173" s="676">
        <v>11</v>
      </c>
      <c r="Q173" s="677" t="s">
        <v>359</v>
      </c>
      <c r="R173" s="354"/>
      <c r="S173" s="354"/>
      <c r="T173" s="354"/>
      <c r="U173" s="354"/>
      <c r="V173" s="354"/>
      <c r="W173" s="354"/>
      <c r="X173" s="354"/>
      <c r="Y173" s="354"/>
      <c r="Z173" s="354"/>
      <c r="AA173" s="364"/>
    </row>
    <row r="174" spans="1:27" ht="13.5" thickBot="1" x14ac:dyDescent="0.35">
      <c r="A174" s="671" t="s">
        <v>111</v>
      </c>
      <c r="B174" s="672"/>
      <c r="C174" s="672"/>
      <c r="D174" s="673"/>
      <c r="E174" s="674"/>
      <c r="F174" s="674"/>
      <c r="G174" s="674"/>
      <c r="H174" s="674"/>
      <c r="I174" s="651">
        <f>N45</f>
        <v>2017</v>
      </c>
      <c r="J174" s="675">
        <f>O45</f>
        <v>2015</v>
      </c>
      <c r="K174" s="657">
        <v>12</v>
      </c>
      <c r="L174" s="1157">
        <f>0.5*ID!$E$7</f>
        <v>0.5</v>
      </c>
      <c r="M174" s="1158"/>
      <c r="P174" s="676">
        <v>12</v>
      </c>
      <c r="Q174" s="677" t="s">
        <v>359</v>
      </c>
      <c r="R174" s="354"/>
      <c r="S174" s="354"/>
      <c r="T174" s="354"/>
      <c r="U174" s="354"/>
      <c r="V174" s="354"/>
      <c r="W174" s="354"/>
      <c r="X174" s="354"/>
      <c r="Y174" s="354"/>
      <c r="Z174" s="354"/>
      <c r="AA174" s="364"/>
    </row>
    <row r="175" spans="1:27" ht="13.5" thickBot="1" x14ac:dyDescent="0.3">
      <c r="A175" s="1149">
        <f>VLOOKUP(A162,A163:K174,11,(FALSE))</f>
        <v>4</v>
      </c>
      <c r="B175" s="1150"/>
      <c r="C175" s="1150"/>
      <c r="D175" s="1150"/>
      <c r="E175" s="1150"/>
      <c r="F175" s="1150"/>
      <c r="G175" s="1150"/>
      <c r="H175" s="1150"/>
      <c r="I175" s="1150"/>
      <c r="J175" s="1150"/>
      <c r="K175" s="1151"/>
      <c r="L175" s="1152">
        <f>VLOOKUP(A175,K163:M174,2,FALSE)</f>
        <v>0.5</v>
      </c>
      <c r="M175" s="1153"/>
      <c r="P175" s="1154" t="str">
        <f>VLOOKUP(P162,P163:AA174,2,FALSE)</f>
        <v>Hasil kalibrasi ECG tertelusur ke Satuan Internasional melalui CALTEK PTE LTD (LA-2003-0292-C)</v>
      </c>
      <c r="Q175" s="1155"/>
      <c r="R175" s="1155"/>
      <c r="S175" s="1155"/>
      <c r="T175" s="1155"/>
      <c r="U175" s="1155"/>
      <c r="V175" s="1155"/>
      <c r="W175" s="1155"/>
      <c r="X175" s="1155"/>
      <c r="Y175" s="1155"/>
      <c r="Z175" s="1155"/>
      <c r="AA175" s="1156"/>
    </row>
    <row r="176" spans="1:27" ht="14.5" x14ac:dyDescent="0.35">
      <c r="A176" s="96"/>
      <c r="B176" s="97"/>
      <c r="C176" s="14"/>
      <c r="D176" s="14"/>
      <c r="E176" s="14"/>
      <c r="F176" s="14"/>
      <c r="G176" s="18"/>
      <c r="H176" s="18"/>
      <c r="I176" s="18"/>
      <c r="J176" s="18"/>
      <c r="K176" s="96"/>
      <c r="L176" s="18"/>
    </row>
    <row r="177" spans="1:2" x14ac:dyDescent="0.25">
      <c r="A177" s="416"/>
    </row>
    <row r="178" spans="1:2" ht="14" x14ac:dyDescent="0.25">
      <c r="A178" s="301"/>
      <c r="B178" s="216"/>
    </row>
    <row r="179" spans="1:2" ht="14" x14ac:dyDescent="0.25">
      <c r="A179" s="426"/>
      <c r="B179" s="216"/>
    </row>
    <row r="180" spans="1:2" ht="14" x14ac:dyDescent="0.25">
      <c r="A180" s="240"/>
      <c r="B180" s="216"/>
    </row>
    <row r="181" spans="1:2" ht="14" x14ac:dyDescent="0.25">
      <c r="A181" s="240"/>
      <c r="B181" s="216"/>
    </row>
    <row r="182" spans="1:2" ht="14" x14ac:dyDescent="0.3">
      <c r="A182" s="292"/>
      <c r="B182" s="216"/>
    </row>
    <row r="183" spans="1:2" ht="14" x14ac:dyDescent="0.3">
      <c r="A183" s="292"/>
      <c r="B183" s="216"/>
    </row>
    <row r="184" spans="1:2" ht="14" x14ac:dyDescent="0.25">
      <c r="A184" s="427"/>
    </row>
  </sheetData>
  <mergeCells count="130">
    <mergeCell ref="A175:K175"/>
    <mergeCell ref="L175:M175"/>
    <mergeCell ref="P175:AA175"/>
    <mergeCell ref="L166:M166"/>
    <mergeCell ref="L167:M167"/>
    <mergeCell ref="L168:M168"/>
    <mergeCell ref="L169:M169"/>
    <mergeCell ref="I162:J162"/>
    <mergeCell ref="L162:M162"/>
    <mergeCell ref="P162:AA162"/>
    <mergeCell ref="L163:M163"/>
    <mergeCell ref="L164:M164"/>
    <mergeCell ref="L165:M165"/>
    <mergeCell ref="L174:M174"/>
    <mergeCell ref="L170:M170"/>
    <mergeCell ref="L171:M171"/>
    <mergeCell ref="L172:M172"/>
    <mergeCell ref="L173:M173"/>
    <mergeCell ref="A149:D149"/>
    <mergeCell ref="F149:I149"/>
    <mergeCell ref="I156:I160"/>
    <mergeCell ref="A137:D137"/>
    <mergeCell ref="F137:I137"/>
    <mergeCell ref="K137:N137"/>
    <mergeCell ref="A141:D141"/>
    <mergeCell ref="F141:I141"/>
    <mergeCell ref="K141:N141"/>
    <mergeCell ref="B123:E123"/>
    <mergeCell ref="H123:K123"/>
    <mergeCell ref="B124:C124"/>
    <mergeCell ref="F124:F125"/>
    <mergeCell ref="H124:I124"/>
    <mergeCell ref="K124:K125"/>
    <mergeCell ref="A145:D145"/>
    <mergeCell ref="F145:I145"/>
    <mergeCell ref="K145:N145"/>
    <mergeCell ref="D124:D125"/>
    <mergeCell ref="E124:E125"/>
    <mergeCell ref="Q97:Q100"/>
    <mergeCell ref="H102:H105"/>
    <mergeCell ref="Q102:Q105"/>
    <mergeCell ref="H85:H88"/>
    <mergeCell ref="Q85:Q88"/>
    <mergeCell ref="H90:H93"/>
    <mergeCell ref="Q90:Q93"/>
    <mergeCell ref="M58:N59"/>
    <mergeCell ref="P58:P60"/>
    <mergeCell ref="Q58:Q60"/>
    <mergeCell ref="A55:Q55"/>
    <mergeCell ref="A58:A60"/>
    <mergeCell ref="B58:B60"/>
    <mergeCell ref="C58:C59"/>
    <mergeCell ref="D58:E59"/>
    <mergeCell ref="G58:G60"/>
    <mergeCell ref="H58:H60"/>
    <mergeCell ref="P30:P32"/>
    <mergeCell ref="Q30:Q32"/>
    <mergeCell ref="A43:C43"/>
    <mergeCell ref="D43:D45"/>
    <mergeCell ref="K43:K45"/>
    <mergeCell ref="H44:I44"/>
    <mergeCell ref="M43:O43"/>
    <mergeCell ref="P43:P45"/>
    <mergeCell ref="G42:K42"/>
    <mergeCell ref="K58:K60"/>
    <mergeCell ref="L58:L59"/>
    <mergeCell ref="J58:J60"/>
    <mergeCell ref="M15:Q15"/>
    <mergeCell ref="A30:C30"/>
    <mergeCell ref="D30:D32"/>
    <mergeCell ref="E30:E32"/>
    <mergeCell ref="F30:F54"/>
    <mergeCell ref="G30:I30"/>
    <mergeCell ref="J30:J32"/>
    <mergeCell ref="D16:D18"/>
    <mergeCell ref="E16:E18"/>
    <mergeCell ref="G16:I16"/>
    <mergeCell ref="J16:J18"/>
    <mergeCell ref="G43:I43"/>
    <mergeCell ref="J43:J45"/>
    <mergeCell ref="M30:O30"/>
    <mergeCell ref="Q43:Q45"/>
    <mergeCell ref="N44:O44"/>
    <mergeCell ref="K30:K32"/>
    <mergeCell ref="B31:C31"/>
    <mergeCell ref="H31:I31"/>
    <mergeCell ref="A42:E42"/>
    <mergeCell ref="E43:E45"/>
    <mergeCell ref="N31:O31"/>
    <mergeCell ref="B44:C44"/>
    <mergeCell ref="A2:Q2"/>
    <mergeCell ref="A3:C3"/>
    <mergeCell ref="D3:D5"/>
    <mergeCell ref="E3:E5"/>
    <mergeCell ref="F3:F27"/>
    <mergeCell ref="G3:I3"/>
    <mergeCell ref="J3:J5"/>
    <mergeCell ref="K3:K5"/>
    <mergeCell ref="M3:O3"/>
    <mergeCell ref="P3:P5"/>
    <mergeCell ref="M16:O16"/>
    <mergeCell ref="P16:P18"/>
    <mergeCell ref="Q16:Q18"/>
    <mergeCell ref="B17:C17"/>
    <mergeCell ref="H17:I17"/>
    <mergeCell ref="N17:O17"/>
    <mergeCell ref="A16:C16"/>
    <mergeCell ref="K16:K18"/>
    <mergeCell ref="Q3:Q5"/>
    <mergeCell ref="B4:C4"/>
    <mergeCell ref="H4:I4"/>
    <mergeCell ref="N4:O4"/>
    <mergeCell ref="A15:E15"/>
    <mergeCell ref="G15:K15"/>
    <mergeCell ref="A61:A72"/>
    <mergeCell ref="A73:A84"/>
    <mergeCell ref="A85:A96"/>
    <mergeCell ref="A97:A108"/>
    <mergeCell ref="A109:A120"/>
    <mergeCell ref="J61:J72"/>
    <mergeCell ref="J73:J84"/>
    <mergeCell ref="J85:J96"/>
    <mergeCell ref="J97:J108"/>
    <mergeCell ref="H61:H64"/>
    <mergeCell ref="H66:H69"/>
    <mergeCell ref="H73:H76"/>
    <mergeCell ref="H78:H81"/>
    <mergeCell ref="H97:H100"/>
    <mergeCell ref="H109:H112"/>
    <mergeCell ref="H114:H117"/>
  </mergeCells>
  <pageMargins left="0.7" right="0.7" top="0.75" bottom="0.75" header="0.3" footer="0.3"/>
  <pageSetup orientation="portrait" horizontalDpi="4294967292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7E50A-0BC5-4FC2-87E5-D6609BC838CC}">
  <sheetPr codeName="Sheet2"/>
  <dimension ref="A2:E84"/>
  <sheetViews>
    <sheetView workbookViewId="0">
      <selection activeCell="G8" sqref="G8"/>
    </sheetView>
  </sheetViews>
  <sheetFormatPr defaultRowHeight="12.5" x14ac:dyDescent="0.25"/>
  <cols>
    <col min="2" max="2" width="17" customWidth="1"/>
    <col min="3" max="4" width="29.26953125" customWidth="1"/>
  </cols>
  <sheetData>
    <row r="2" spans="1:5" ht="13" x14ac:dyDescent="0.25">
      <c r="A2" s="854" t="s">
        <v>0</v>
      </c>
      <c r="B2" s="854" t="s">
        <v>1</v>
      </c>
      <c r="C2" s="854" t="s">
        <v>2</v>
      </c>
      <c r="D2" s="854"/>
      <c r="E2" s="852" t="s">
        <v>3</v>
      </c>
    </row>
    <row r="3" spans="1:5" ht="13" x14ac:dyDescent="0.25">
      <c r="A3" s="854"/>
      <c r="B3" s="854"/>
      <c r="C3" s="302" t="s">
        <v>4</v>
      </c>
      <c r="D3" s="302" t="s">
        <v>5</v>
      </c>
      <c r="E3" s="853"/>
    </row>
    <row r="4" spans="1:5" x14ac:dyDescent="0.25">
      <c r="A4" s="303"/>
      <c r="B4" s="304"/>
      <c r="C4" s="303"/>
      <c r="D4" s="303"/>
      <c r="E4" s="306"/>
    </row>
    <row r="5" spans="1:5" x14ac:dyDescent="0.25">
      <c r="A5" s="306"/>
      <c r="B5" s="306"/>
      <c r="C5" s="306"/>
      <c r="D5" s="306"/>
      <c r="E5" s="306"/>
    </row>
    <row r="6" spans="1:5" x14ac:dyDescent="0.25">
      <c r="A6" s="306"/>
      <c r="B6" s="306"/>
      <c r="C6" s="306"/>
      <c r="D6" s="306"/>
      <c r="E6" s="306"/>
    </row>
    <row r="7" spans="1:5" x14ac:dyDescent="0.25">
      <c r="A7" s="306"/>
      <c r="B7" s="306"/>
      <c r="C7" s="306"/>
      <c r="D7" s="306"/>
      <c r="E7" s="306"/>
    </row>
    <row r="8" spans="1:5" x14ac:dyDescent="0.25">
      <c r="A8" s="306"/>
      <c r="B8" s="306"/>
      <c r="C8" s="306"/>
      <c r="D8" s="306"/>
      <c r="E8" s="306"/>
    </row>
    <row r="9" spans="1:5" x14ac:dyDescent="0.25">
      <c r="A9" s="306"/>
      <c r="B9" s="306"/>
      <c r="C9" s="306"/>
      <c r="D9" s="306"/>
      <c r="E9" s="306"/>
    </row>
    <row r="10" spans="1:5" x14ac:dyDescent="0.25">
      <c r="A10" s="306"/>
      <c r="B10" s="306"/>
      <c r="C10" s="306"/>
      <c r="D10" s="306"/>
      <c r="E10" s="306"/>
    </row>
    <row r="11" spans="1:5" x14ac:dyDescent="0.25">
      <c r="A11" s="306"/>
      <c r="B11" s="306"/>
      <c r="C11" s="306"/>
      <c r="D11" s="306"/>
      <c r="E11" s="306"/>
    </row>
    <row r="12" spans="1:5" x14ac:dyDescent="0.25">
      <c r="A12" s="306"/>
      <c r="B12" s="306"/>
      <c r="C12" s="306"/>
      <c r="D12" s="306"/>
      <c r="E12" s="306"/>
    </row>
    <row r="13" spans="1:5" x14ac:dyDescent="0.25">
      <c r="A13" s="306"/>
      <c r="B13" s="306"/>
      <c r="C13" s="306"/>
      <c r="D13" s="306"/>
      <c r="E13" s="306"/>
    </row>
    <row r="14" spans="1:5" x14ac:dyDescent="0.25">
      <c r="A14" s="306"/>
      <c r="B14" s="306"/>
      <c r="C14" s="306"/>
      <c r="D14" s="306"/>
      <c r="E14" s="306"/>
    </row>
    <row r="15" spans="1:5" x14ac:dyDescent="0.25">
      <c r="A15" s="306"/>
      <c r="B15" s="306"/>
      <c r="C15" s="306"/>
      <c r="D15" s="306"/>
      <c r="E15" s="306"/>
    </row>
    <row r="16" spans="1:5" x14ac:dyDescent="0.25">
      <c r="A16" s="306"/>
      <c r="B16" s="306"/>
      <c r="C16" s="306"/>
      <c r="D16" s="306"/>
      <c r="E16" s="306"/>
    </row>
    <row r="17" spans="1:5" x14ac:dyDescent="0.25">
      <c r="A17" s="306"/>
      <c r="B17" s="306"/>
      <c r="C17" s="306"/>
      <c r="D17" s="306"/>
      <c r="E17" s="306"/>
    </row>
    <row r="18" spans="1:5" x14ac:dyDescent="0.25">
      <c r="A18" s="306"/>
      <c r="B18" s="306"/>
      <c r="C18" s="306"/>
      <c r="D18" s="306"/>
      <c r="E18" s="306"/>
    </row>
    <row r="19" spans="1:5" x14ac:dyDescent="0.25">
      <c r="A19" s="306"/>
      <c r="B19" s="306"/>
      <c r="C19" s="306"/>
      <c r="D19" s="306"/>
      <c r="E19" s="306"/>
    </row>
    <row r="20" spans="1:5" x14ac:dyDescent="0.25">
      <c r="A20" s="306"/>
      <c r="B20" s="306"/>
      <c r="C20" s="306"/>
      <c r="D20" s="306"/>
      <c r="E20" s="306"/>
    </row>
    <row r="21" spans="1:5" x14ac:dyDescent="0.25">
      <c r="A21" s="306"/>
      <c r="B21" s="306"/>
      <c r="C21" s="306"/>
      <c r="D21" s="306"/>
      <c r="E21" s="306"/>
    </row>
    <row r="22" spans="1:5" x14ac:dyDescent="0.25">
      <c r="A22" s="306"/>
      <c r="B22" s="306"/>
      <c r="C22" s="306"/>
      <c r="D22" s="306"/>
      <c r="E22" s="306"/>
    </row>
    <row r="23" spans="1:5" x14ac:dyDescent="0.25">
      <c r="A23" s="306"/>
      <c r="B23" s="306"/>
      <c r="C23" s="306"/>
      <c r="D23" s="306"/>
      <c r="E23" s="306"/>
    </row>
    <row r="24" spans="1:5" x14ac:dyDescent="0.25">
      <c r="A24" s="306"/>
      <c r="B24" s="306"/>
      <c r="C24" s="306"/>
      <c r="D24" s="306"/>
      <c r="E24" s="306"/>
    </row>
    <row r="25" spans="1:5" x14ac:dyDescent="0.25">
      <c r="A25" s="306"/>
      <c r="B25" s="306"/>
      <c r="C25" s="306"/>
      <c r="D25" s="306"/>
      <c r="E25" s="306"/>
    </row>
    <row r="26" spans="1:5" x14ac:dyDescent="0.25">
      <c r="A26" s="306"/>
      <c r="B26" s="306"/>
      <c r="C26" s="306"/>
      <c r="D26" s="306"/>
      <c r="E26" s="306"/>
    </row>
    <row r="27" spans="1:5" x14ac:dyDescent="0.25">
      <c r="A27" s="306"/>
      <c r="B27" s="306"/>
      <c r="C27" s="306"/>
      <c r="D27" s="306"/>
      <c r="E27" s="306"/>
    </row>
    <row r="28" spans="1:5" x14ac:dyDescent="0.25">
      <c r="A28" s="306"/>
      <c r="B28" s="306"/>
      <c r="C28" s="306"/>
      <c r="D28" s="306"/>
      <c r="E28" s="306"/>
    </row>
    <row r="29" spans="1:5" x14ac:dyDescent="0.25">
      <c r="A29" s="306"/>
      <c r="B29" s="306"/>
      <c r="C29" s="306"/>
      <c r="D29" s="306"/>
      <c r="E29" s="306"/>
    </row>
    <row r="30" spans="1:5" x14ac:dyDescent="0.25">
      <c r="A30" s="306"/>
      <c r="B30" s="306"/>
      <c r="C30" s="306"/>
      <c r="D30" s="306"/>
      <c r="E30" s="306"/>
    </row>
    <row r="84" spans="1:1" x14ac:dyDescent="0.25">
      <c r="A84" s="307" t="s">
        <v>383</v>
      </c>
    </row>
  </sheetData>
  <sheetProtection algorithmName="SHA-512" hashValue="UfsheIN4O1v+QyHSHL5pfsneN5ITONbFcK82WCG2WCXVLzOCU2gTXNXeCSiEmU6SmmBG5yGF1kyu5ZSmDA12Lw==" saltValue="h4RxZcxxj8/Lkfcso4ZzVA==" spinCount="100000" sheet="1" objects="1" scenarios="1"/>
  <mergeCells count="4">
    <mergeCell ref="E2:E3"/>
    <mergeCell ref="A2:A3"/>
    <mergeCell ref="B2:B3"/>
    <mergeCell ref="C2:D2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72"/>
  <sheetViews>
    <sheetView showGridLines="0" view="pageBreakPreview" topLeftCell="A46" zoomScaleNormal="100" zoomScaleSheetLayoutView="100" zoomScalePageLayoutView="90" workbookViewId="0">
      <selection activeCell="K9" sqref="K9"/>
    </sheetView>
  </sheetViews>
  <sheetFormatPr defaultColWidth="9.1796875" defaultRowHeight="15.5" x14ac:dyDescent="0.25"/>
  <cols>
    <col min="1" max="1" width="5" style="2" customWidth="1"/>
    <col min="2" max="2" width="4.26953125" style="2" customWidth="1"/>
    <col min="3" max="3" width="18.54296875" style="2" customWidth="1"/>
    <col min="4" max="4" width="11.81640625" style="2" customWidth="1"/>
    <col min="5" max="5" width="9.81640625" style="2" customWidth="1"/>
    <col min="6" max="10" width="8.7265625" style="2" customWidth="1"/>
    <col min="11" max="11" width="11" style="2" customWidth="1"/>
    <col min="12" max="12" width="10.453125" style="2" customWidth="1"/>
    <col min="13" max="16384" width="9.1796875" style="2"/>
  </cols>
  <sheetData>
    <row r="1" spans="1:12" x14ac:dyDescent="0.25">
      <c r="A1" s="873" t="s">
        <v>374</v>
      </c>
      <c r="B1" s="873"/>
      <c r="C1" s="873"/>
      <c r="D1" s="873"/>
      <c r="E1" s="873"/>
      <c r="F1" s="873"/>
      <c r="G1" s="873"/>
      <c r="H1" s="873"/>
      <c r="I1" s="873"/>
      <c r="J1" s="873"/>
      <c r="K1" s="873"/>
      <c r="L1" s="873"/>
    </row>
    <row r="2" spans="1:12" x14ac:dyDescent="0.25">
      <c r="A2" s="874" t="s">
        <v>379</v>
      </c>
      <c r="B2" s="874"/>
      <c r="C2" s="874"/>
      <c r="D2" s="874"/>
      <c r="E2" s="874"/>
      <c r="F2" s="874"/>
      <c r="G2" s="874"/>
      <c r="H2" s="874"/>
      <c r="I2" s="874"/>
      <c r="J2" s="874"/>
      <c r="K2" s="874"/>
      <c r="L2" s="874"/>
    </row>
    <row r="3" spans="1:12" x14ac:dyDescent="0.25">
      <c r="A3" s="209"/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</row>
    <row r="4" spans="1:12" x14ac:dyDescent="0.25">
      <c r="A4" s="209" t="s">
        <v>6</v>
      </c>
      <c r="B4" s="209"/>
      <c r="C4" s="209"/>
      <c r="D4" s="210" t="s">
        <v>7</v>
      </c>
      <c r="E4" s="210"/>
      <c r="F4" s="210"/>
      <c r="G4" s="210"/>
      <c r="H4" s="210"/>
      <c r="I4" s="210"/>
      <c r="J4" s="210"/>
      <c r="K4" s="209"/>
      <c r="L4" s="209"/>
    </row>
    <row r="5" spans="1:12" x14ac:dyDescent="0.25">
      <c r="A5" s="209" t="s">
        <v>8</v>
      </c>
      <c r="B5" s="209"/>
      <c r="C5" s="209"/>
      <c r="D5" s="211" t="s">
        <v>7</v>
      </c>
      <c r="E5" s="211"/>
      <c r="F5" s="211"/>
      <c r="G5" s="211"/>
      <c r="H5" s="211"/>
      <c r="I5" s="211"/>
      <c r="J5" s="211"/>
      <c r="K5" s="209"/>
      <c r="L5" s="209"/>
    </row>
    <row r="6" spans="1:12" x14ac:dyDescent="0.25">
      <c r="A6" s="209" t="s">
        <v>9</v>
      </c>
      <c r="B6" s="209"/>
      <c r="C6" s="209"/>
      <c r="D6" s="211" t="s">
        <v>7</v>
      </c>
      <c r="E6" s="211"/>
      <c r="F6" s="211"/>
      <c r="G6" s="211"/>
      <c r="H6" s="211"/>
      <c r="I6" s="211"/>
      <c r="J6" s="211"/>
      <c r="K6" s="209"/>
      <c r="L6" s="209"/>
    </row>
    <row r="7" spans="1:12" x14ac:dyDescent="0.3">
      <c r="A7" s="300" t="s">
        <v>10</v>
      </c>
      <c r="B7" s="209"/>
      <c r="C7" s="209"/>
      <c r="D7" s="211" t="s">
        <v>7</v>
      </c>
      <c r="E7" s="211" t="s">
        <v>11</v>
      </c>
      <c r="F7" s="211"/>
      <c r="G7" s="211"/>
      <c r="H7" s="211"/>
      <c r="I7" s="211"/>
      <c r="J7" s="211"/>
      <c r="K7" s="209"/>
      <c r="L7" s="209"/>
    </row>
    <row r="8" spans="1:12" x14ac:dyDescent="0.3">
      <c r="A8" s="300" t="s">
        <v>12</v>
      </c>
      <c r="B8" s="209"/>
      <c r="C8" s="209"/>
      <c r="D8" s="211" t="s">
        <v>7</v>
      </c>
      <c r="E8" s="211"/>
      <c r="F8" s="211"/>
      <c r="G8" s="211"/>
      <c r="H8" s="211"/>
      <c r="I8" s="211"/>
      <c r="J8" s="211"/>
      <c r="K8" s="209"/>
      <c r="L8" s="209"/>
    </row>
    <row r="9" spans="1:12" x14ac:dyDescent="0.25">
      <c r="A9" s="209" t="s">
        <v>13</v>
      </c>
      <c r="B9" s="209"/>
      <c r="C9" s="209"/>
      <c r="D9" s="211" t="s">
        <v>7</v>
      </c>
      <c r="E9" s="211"/>
      <c r="F9" s="211"/>
      <c r="G9" s="211"/>
      <c r="H9" s="211"/>
      <c r="I9" s="211"/>
      <c r="J9" s="211"/>
      <c r="K9" s="209"/>
      <c r="L9" s="209"/>
    </row>
    <row r="10" spans="1:12" x14ac:dyDescent="0.25">
      <c r="A10" s="209" t="s">
        <v>14</v>
      </c>
      <c r="B10" s="209"/>
      <c r="C10" s="209"/>
      <c r="D10" s="211" t="s">
        <v>7</v>
      </c>
      <c r="E10" s="211"/>
      <c r="F10" s="211"/>
      <c r="G10" s="211"/>
      <c r="H10" s="211"/>
      <c r="I10" s="211"/>
      <c r="J10" s="211"/>
      <c r="K10" s="209"/>
      <c r="L10" s="209"/>
    </row>
    <row r="11" spans="1:12" x14ac:dyDescent="0.25">
      <c r="A11" s="209" t="s">
        <v>15</v>
      </c>
      <c r="B11" s="209"/>
      <c r="C11" s="209"/>
      <c r="D11" s="211" t="s">
        <v>7</v>
      </c>
      <c r="E11" s="211"/>
      <c r="F11" s="211"/>
      <c r="G11" s="211"/>
      <c r="H11" s="211"/>
      <c r="I11" s="211"/>
      <c r="J11" s="211"/>
      <c r="K11" s="209"/>
      <c r="L11" s="209"/>
    </row>
    <row r="12" spans="1:12" hidden="1" x14ac:dyDescent="0.25">
      <c r="A12" s="209" t="s">
        <v>16</v>
      </c>
      <c r="B12" s="209"/>
      <c r="C12" s="209"/>
      <c r="D12" s="209" t="s">
        <v>17</v>
      </c>
      <c r="E12" s="209"/>
      <c r="F12" s="209"/>
      <c r="G12" s="209"/>
      <c r="H12" s="209"/>
      <c r="I12" s="209"/>
      <c r="J12" s="209"/>
      <c r="K12" s="209"/>
      <c r="L12" s="209"/>
    </row>
    <row r="13" spans="1:12" ht="9" customHeight="1" x14ac:dyDescent="0.25">
      <c r="A13" s="209"/>
      <c r="B13" s="209"/>
      <c r="C13" s="209"/>
      <c r="D13" s="209"/>
      <c r="E13" s="209"/>
      <c r="F13" s="209"/>
      <c r="G13" s="209"/>
      <c r="H13" s="209"/>
      <c r="I13" s="209"/>
      <c r="J13" s="209"/>
      <c r="K13" s="209"/>
      <c r="L13" s="209"/>
    </row>
    <row r="14" spans="1:12" x14ac:dyDescent="0.25">
      <c r="A14" s="212" t="s">
        <v>18</v>
      </c>
      <c r="B14" s="212" t="s">
        <v>19</v>
      </c>
      <c r="C14" s="212"/>
      <c r="D14" s="212"/>
      <c r="E14" s="212"/>
      <c r="F14" s="212"/>
      <c r="G14" s="212"/>
      <c r="H14" s="212"/>
      <c r="I14" s="212"/>
      <c r="J14" s="212"/>
      <c r="K14" s="212"/>
      <c r="L14" s="212"/>
    </row>
    <row r="15" spans="1:12" x14ac:dyDescent="0.25">
      <c r="A15" s="212"/>
      <c r="B15" s="212"/>
      <c r="C15" s="212"/>
      <c r="D15" s="863" t="s">
        <v>4</v>
      </c>
      <c r="E15" s="865"/>
      <c r="F15" s="863" t="s">
        <v>5</v>
      </c>
      <c r="G15" s="865"/>
      <c r="H15" s="212"/>
      <c r="I15" s="209"/>
      <c r="J15" s="212"/>
      <c r="K15" s="212"/>
      <c r="L15" s="212"/>
    </row>
    <row r="16" spans="1:12" ht="16.5" x14ac:dyDescent="0.25">
      <c r="A16" s="209"/>
      <c r="B16" s="209" t="s">
        <v>21</v>
      </c>
      <c r="C16" s="209"/>
      <c r="D16" s="867"/>
      <c r="E16" s="868"/>
      <c r="F16" s="867"/>
      <c r="G16" s="868"/>
      <c r="H16" s="213" t="s">
        <v>22</v>
      </c>
      <c r="I16" s="209"/>
      <c r="J16" s="209"/>
      <c r="K16" s="209"/>
      <c r="L16" s="209"/>
    </row>
    <row r="17" spans="1:12" x14ac:dyDescent="0.25">
      <c r="A17" s="209"/>
      <c r="B17" s="209" t="s">
        <v>23</v>
      </c>
      <c r="C17" s="209"/>
      <c r="D17" s="867"/>
      <c r="E17" s="868"/>
      <c r="F17" s="867"/>
      <c r="G17" s="868"/>
      <c r="H17" s="209" t="s">
        <v>24</v>
      </c>
      <c r="I17" s="209"/>
      <c r="J17" s="209"/>
      <c r="K17" s="209"/>
      <c r="L17" s="209"/>
    </row>
    <row r="18" spans="1:12" x14ac:dyDescent="0.25">
      <c r="A18" s="209"/>
      <c r="B18" s="209" t="s">
        <v>25</v>
      </c>
      <c r="C18" s="209"/>
      <c r="D18" s="214" t="s">
        <v>7</v>
      </c>
      <c r="E18" s="214"/>
      <c r="F18" s="209" t="s">
        <v>26</v>
      </c>
      <c r="G18" s="209"/>
      <c r="H18" s="209"/>
      <c r="I18" s="209"/>
      <c r="J18" s="209"/>
      <c r="K18" s="209"/>
      <c r="L18" s="209"/>
    </row>
    <row r="19" spans="1:12" ht="9" customHeight="1" x14ac:dyDescent="0.25">
      <c r="A19" s="209"/>
      <c r="B19" s="209"/>
      <c r="C19" s="209"/>
      <c r="D19" s="209"/>
      <c r="E19" s="209"/>
      <c r="F19" s="209"/>
      <c r="G19" s="209"/>
      <c r="H19" s="209"/>
      <c r="I19" s="209"/>
      <c r="J19" s="209"/>
      <c r="K19" s="209"/>
      <c r="L19" s="209"/>
    </row>
    <row r="20" spans="1:12" x14ac:dyDescent="0.25">
      <c r="A20" s="212" t="s">
        <v>27</v>
      </c>
      <c r="B20" s="212" t="s">
        <v>28</v>
      </c>
      <c r="C20" s="212"/>
      <c r="D20" s="212"/>
      <c r="E20" s="212"/>
      <c r="F20" s="212"/>
      <c r="G20" s="212"/>
      <c r="H20" s="212"/>
      <c r="I20" s="212"/>
      <c r="J20" s="209"/>
      <c r="K20" s="209"/>
      <c r="L20" s="209"/>
    </row>
    <row r="21" spans="1:12" x14ac:dyDescent="0.25">
      <c r="A21" s="209"/>
      <c r="B21" s="209" t="s">
        <v>29</v>
      </c>
      <c r="C21" s="209"/>
      <c r="D21" s="209" t="s">
        <v>30</v>
      </c>
      <c r="E21" s="209"/>
      <c r="F21" s="209"/>
      <c r="G21" s="209"/>
      <c r="H21" s="209"/>
      <c r="I21" s="209"/>
      <c r="J21" s="209"/>
      <c r="K21" s="209"/>
      <c r="L21" s="209"/>
    </row>
    <row r="22" spans="1:12" x14ac:dyDescent="0.25">
      <c r="A22" s="209"/>
      <c r="B22" s="209" t="s">
        <v>31</v>
      </c>
      <c r="C22" s="209"/>
      <c r="D22" s="209" t="s">
        <v>30</v>
      </c>
      <c r="E22" s="209"/>
      <c r="F22" s="209"/>
      <c r="G22" s="209"/>
      <c r="H22" s="209"/>
      <c r="I22" s="209"/>
      <c r="J22" s="209"/>
      <c r="K22" s="209"/>
      <c r="L22" s="209"/>
    </row>
    <row r="23" spans="1:12" ht="9" customHeight="1" x14ac:dyDescent="0.25">
      <c r="A23" s="209"/>
      <c r="B23" s="209"/>
      <c r="C23" s="209"/>
      <c r="D23" s="209"/>
      <c r="E23" s="209"/>
      <c r="F23" s="209"/>
      <c r="G23" s="209"/>
      <c r="H23" s="209"/>
      <c r="I23" s="209"/>
      <c r="J23" s="209"/>
      <c r="K23" s="209"/>
      <c r="L23" s="209"/>
    </row>
    <row r="24" spans="1:12" x14ac:dyDescent="0.25">
      <c r="A24" s="212" t="s">
        <v>32</v>
      </c>
      <c r="B24" s="212" t="s">
        <v>33</v>
      </c>
      <c r="C24" s="209"/>
      <c r="D24" s="209"/>
      <c r="E24" s="209"/>
      <c r="F24" s="209"/>
      <c r="G24" s="209"/>
      <c r="H24" s="209"/>
      <c r="I24" s="209"/>
      <c r="J24" s="209"/>
      <c r="K24" s="209"/>
      <c r="L24" s="209"/>
    </row>
    <row r="25" spans="1:12" x14ac:dyDescent="0.25">
      <c r="A25" s="209"/>
      <c r="B25" s="869" t="s">
        <v>0</v>
      </c>
      <c r="C25" s="855" t="s">
        <v>34</v>
      </c>
      <c r="D25" s="871"/>
      <c r="E25" s="871"/>
      <c r="F25" s="871"/>
      <c r="G25" s="871"/>
      <c r="H25" s="856"/>
      <c r="I25" s="855" t="s">
        <v>35</v>
      </c>
      <c r="J25" s="856"/>
      <c r="K25" s="855" t="s">
        <v>36</v>
      </c>
      <c r="L25" s="856"/>
    </row>
    <row r="26" spans="1:12" ht="12" customHeight="1" x14ac:dyDescent="0.25">
      <c r="A26" s="209"/>
      <c r="B26" s="870"/>
      <c r="C26" s="857"/>
      <c r="D26" s="872"/>
      <c r="E26" s="872"/>
      <c r="F26" s="872"/>
      <c r="G26" s="872"/>
      <c r="H26" s="858"/>
      <c r="I26" s="857"/>
      <c r="J26" s="858"/>
      <c r="K26" s="857" t="s">
        <v>37</v>
      </c>
      <c r="L26" s="858"/>
    </row>
    <row r="27" spans="1:12" ht="15.75" customHeight="1" x14ac:dyDescent="0.3">
      <c r="A27" s="209"/>
      <c r="B27" s="263">
        <v>1</v>
      </c>
      <c r="C27" s="233" t="s">
        <v>38</v>
      </c>
      <c r="D27" s="264"/>
      <c r="E27" s="264"/>
      <c r="F27" s="264"/>
      <c r="G27" s="265"/>
      <c r="H27" s="266"/>
      <c r="I27" s="267"/>
      <c r="J27" s="102" t="s">
        <v>39</v>
      </c>
      <c r="K27" s="103">
        <v>2</v>
      </c>
      <c r="L27" s="102" t="s">
        <v>39</v>
      </c>
    </row>
    <row r="28" spans="1:12" ht="15.75" customHeight="1" x14ac:dyDescent="0.3">
      <c r="A28" s="209"/>
      <c r="B28" s="268">
        <v>2</v>
      </c>
      <c r="C28" s="233" t="s">
        <v>40</v>
      </c>
      <c r="D28" s="264"/>
      <c r="E28" s="264"/>
      <c r="F28" s="264"/>
      <c r="G28" s="265"/>
      <c r="H28" s="266"/>
      <c r="I28" s="267"/>
      <c r="J28" s="102" t="s">
        <v>41</v>
      </c>
      <c r="K28" s="234" t="s">
        <v>42</v>
      </c>
      <c r="L28" s="102" t="s">
        <v>41</v>
      </c>
    </row>
    <row r="29" spans="1:12" ht="15.75" customHeight="1" x14ac:dyDescent="0.3">
      <c r="A29" s="209"/>
      <c r="B29" s="206">
        <v>3</v>
      </c>
      <c r="C29" s="233" t="s">
        <v>43</v>
      </c>
      <c r="D29" s="264"/>
      <c r="E29" s="264"/>
      <c r="F29" s="264"/>
      <c r="G29" s="265"/>
      <c r="H29" s="266"/>
      <c r="I29" s="267"/>
      <c r="J29" s="104" t="s">
        <v>44</v>
      </c>
      <c r="K29" s="105" t="s">
        <v>45</v>
      </c>
      <c r="L29" s="104" t="s">
        <v>44</v>
      </c>
    </row>
    <row r="30" spans="1:12" ht="15.75" customHeight="1" x14ac:dyDescent="0.3">
      <c r="A30" s="209"/>
      <c r="B30" s="207">
        <v>4</v>
      </c>
      <c r="C30" s="233" t="s">
        <v>46</v>
      </c>
      <c r="D30" s="235"/>
      <c r="E30" s="235"/>
      <c r="F30" s="235"/>
      <c r="G30" s="235"/>
      <c r="H30" s="236"/>
      <c r="I30" s="215"/>
      <c r="J30" s="104" t="s">
        <v>44</v>
      </c>
      <c r="K30" s="290">
        <v>50</v>
      </c>
      <c r="L30" s="104" t="s">
        <v>44</v>
      </c>
    </row>
    <row r="31" spans="1:12" x14ac:dyDescent="0.25">
      <c r="A31" s="209"/>
      <c r="B31" s="209"/>
      <c r="C31" s="209"/>
      <c r="D31" s="209"/>
      <c r="E31" s="209"/>
      <c r="F31" s="209"/>
      <c r="G31" s="209"/>
      <c r="H31" s="209"/>
      <c r="I31" s="209"/>
      <c r="J31" s="209"/>
      <c r="K31" s="209"/>
      <c r="L31" s="209"/>
    </row>
    <row r="32" spans="1:12" x14ac:dyDescent="0.25">
      <c r="A32" s="212" t="s">
        <v>47</v>
      </c>
      <c r="B32" s="212" t="s">
        <v>48</v>
      </c>
      <c r="C32" s="212"/>
      <c r="D32" s="212"/>
      <c r="E32" s="209"/>
      <c r="F32" s="209"/>
      <c r="G32" s="209"/>
      <c r="H32" s="209"/>
      <c r="I32" s="209"/>
      <c r="J32" s="209"/>
      <c r="K32" s="209"/>
      <c r="L32" s="209"/>
    </row>
    <row r="33" spans="1:12" ht="20.149999999999999" customHeight="1" x14ac:dyDescent="0.25">
      <c r="A33" s="212"/>
      <c r="B33" s="212" t="s">
        <v>369</v>
      </c>
      <c r="C33" s="220"/>
      <c r="D33" s="221"/>
      <c r="E33" s="221"/>
      <c r="F33" s="221"/>
      <c r="G33" s="221"/>
      <c r="H33" s="218"/>
      <c r="I33" s="222"/>
      <c r="J33" s="218"/>
      <c r="K33" s="219"/>
      <c r="L33" s="188"/>
    </row>
    <row r="34" spans="1:12" ht="20.149999999999999" customHeight="1" x14ac:dyDescent="0.25">
      <c r="A34" s="209"/>
      <c r="B34" s="862" t="s">
        <v>56</v>
      </c>
      <c r="C34" s="862" t="s">
        <v>34</v>
      </c>
      <c r="D34" s="862" t="s">
        <v>57</v>
      </c>
      <c r="E34" s="863" t="s">
        <v>58</v>
      </c>
      <c r="F34" s="864"/>
      <c r="G34" s="864"/>
      <c r="H34" s="864"/>
      <c r="I34" s="864"/>
      <c r="J34" s="865"/>
      <c r="K34" s="862" t="s">
        <v>59</v>
      </c>
      <c r="L34" s="866" t="s">
        <v>20</v>
      </c>
    </row>
    <row r="35" spans="1:12" ht="24.75" customHeight="1" x14ac:dyDescent="0.25">
      <c r="A35" s="209"/>
      <c r="B35" s="862"/>
      <c r="C35" s="862"/>
      <c r="D35" s="862"/>
      <c r="E35" s="208" t="s">
        <v>50</v>
      </c>
      <c r="F35" s="208" t="s">
        <v>51</v>
      </c>
      <c r="G35" s="208" t="s">
        <v>52</v>
      </c>
      <c r="H35" s="208" t="s">
        <v>53</v>
      </c>
      <c r="I35" s="208" t="s">
        <v>54</v>
      </c>
      <c r="J35" s="208" t="s">
        <v>55</v>
      </c>
      <c r="K35" s="862"/>
      <c r="L35" s="866"/>
    </row>
    <row r="36" spans="1:12" x14ac:dyDescent="0.25">
      <c r="A36" s="209"/>
      <c r="B36" s="206">
        <v>1</v>
      </c>
      <c r="C36" s="861" t="s">
        <v>60</v>
      </c>
      <c r="D36" s="206">
        <v>30</v>
      </c>
      <c r="E36" s="223"/>
      <c r="F36" s="223"/>
      <c r="G36" s="223"/>
      <c r="H36" s="223"/>
      <c r="I36" s="223"/>
      <c r="J36" s="223"/>
      <c r="K36" s="860" t="s">
        <v>61</v>
      </c>
      <c r="L36" s="101">
        <v>8</v>
      </c>
    </row>
    <row r="37" spans="1:12" x14ac:dyDescent="0.25">
      <c r="A37" s="209"/>
      <c r="B37" s="206">
        <v>2</v>
      </c>
      <c r="C37" s="861"/>
      <c r="D37" s="206">
        <v>60</v>
      </c>
      <c r="E37" s="223"/>
      <c r="F37" s="223"/>
      <c r="G37" s="223"/>
      <c r="H37" s="223"/>
      <c r="I37" s="223"/>
      <c r="J37" s="223"/>
      <c r="K37" s="860"/>
      <c r="L37" s="101">
        <v>8</v>
      </c>
    </row>
    <row r="38" spans="1:12" x14ac:dyDescent="0.25">
      <c r="A38" s="209"/>
      <c r="B38" s="206">
        <v>3</v>
      </c>
      <c r="C38" s="861"/>
      <c r="D38" s="206">
        <v>120</v>
      </c>
      <c r="E38" s="223"/>
      <c r="F38" s="223"/>
      <c r="G38" s="223"/>
      <c r="H38" s="223"/>
      <c r="I38" s="223"/>
      <c r="J38" s="223"/>
      <c r="K38" s="860"/>
      <c r="L38" s="101">
        <v>8</v>
      </c>
    </row>
    <row r="39" spans="1:12" x14ac:dyDescent="0.25">
      <c r="A39" s="209"/>
      <c r="B39" s="206">
        <v>4</v>
      </c>
      <c r="C39" s="861"/>
      <c r="D39" s="206">
        <v>180</v>
      </c>
      <c r="E39" s="223"/>
      <c r="F39" s="223"/>
      <c r="G39" s="223"/>
      <c r="H39" s="223"/>
      <c r="I39" s="223"/>
      <c r="J39" s="223"/>
      <c r="K39" s="860"/>
      <c r="L39" s="101">
        <v>8</v>
      </c>
    </row>
    <row r="40" spans="1:12" x14ac:dyDescent="0.25">
      <c r="A40" s="209"/>
      <c r="B40" s="206">
        <v>5</v>
      </c>
      <c r="C40" s="861"/>
      <c r="D40" s="206">
        <v>240</v>
      </c>
      <c r="E40" s="223"/>
      <c r="F40" s="223"/>
      <c r="G40" s="223"/>
      <c r="H40" s="223"/>
      <c r="I40" s="223"/>
      <c r="J40" s="223"/>
      <c r="K40" s="860"/>
      <c r="L40" s="101">
        <v>8</v>
      </c>
    </row>
    <row r="41" spans="1:12" ht="15.75" customHeight="1" x14ac:dyDescent="0.25">
      <c r="A41" s="216"/>
      <c r="B41" s="217"/>
      <c r="C41" s="216"/>
      <c r="D41" s="224"/>
      <c r="E41" s="224"/>
      <c r="F41" s="224"/>
      <c r="G41" s="224"/>
      <c r="H41" s="224"/>
      <c r="I41" s="224"/>
      <c r="J41" s="225"/>
      <c r="K41" s="188"/>
      <c r="L41" s="218"/>
    </row>
    <row r="42" spans="1:12" x14ac:dyDescent="0.25">
      <c r="A42" s="226" t="s">
        <v>62</v>
      </c>
      <c r="B42" s="226" t="s">
        <v>63</v>
      </c>
      <c r="C42" s="216"/>
      <c r="D42" s="216"/>
      <c r="E42" s="216"/>
      <c r="F42" s="216"/>
      <c r="G42" s="216"/>
      <c r="H42" s="216"/>
      <c r="I42" s="227"/>
      <c r="J42" s="209"/>
      <c r="K42" s="209"/>
      <c r="L42" s="221"/>
    </row>
    <row r="43" spans="1:12" x14ac:dyDescent="0.25">
      <c r="A43" s="228"/>
      <c r="B43" s="210"/>
      <c r="C43" s="229"/>
      <c r="D43" s="229"/>
      <c r="E43" s="229"/>
      <c r="F43" s="229"/>
      <c r="G43" s="229"/>
      <c r="H43" s="229"/>
      <c r="I43" s="230"/>
      <c r="J43" s="210"/>
      <c r="K43" s="210"/>
      <c r="L43" s="318"/>
    </row>
    <row r="44" spans="1:12" x14ac:dyDescent="0.25">
      <c r="A44" s="228"/>
      <c r="B44" s="210"/>
      <c r="C44" s="229"/>
      <c r="D44" s="229"/>
      <c r="E44" s="229"/>
      <c r="F44" s="229"/>
      <c r="G44" s="229"/>
      <c r="H44" s="229"/>
      <c r="I44" s="319"/>
      <c r="J44" s="211"/>
      <c r="K44" s="211"/>
      <c r="L44" s="320"/>
    </row>
    <row r="45" spans="1:12" x14ac:dyDescent="0.25">
      <c r="A45" s="228"/>
      <c r="B45" s="209"/>
      <c r="C45" s="216"/>
      <c r="D45" s="216"/>
      <c r="E45" s="216"/>
      <c r="F45" s="216"/>
      <c r="G45" s="216"/>
      <c r="H45" s="216"/>
      <c r="I45" s="227"/>
      <c r="J45" s="209"/>
      <c r="K45" s="209"/>
      <c r="L45" s="221"/>
    </row>
    <row r="46" spans="1:12" x14ac:dyDescent="0.25">
      <c r="A46" s="212" t="s">
        <v>64</v>
      </c>
      <c r="B46" s="212" t="s">
        <v>65</v>
      </c>
      <c r="C46" s="216"/>
      <c r="D46" s="216"/>
      <c r="E46" s="216"/>
      <c r="F46" s="216"/>
      <c r="G46" s="216"/>
      <c r="H46" s="216"/>
      <c r="I46" s="227"/>
      <c r="J46" s="209"/>
      <c r="K46" s="209"/>
      <c r="L46" s="221"/>
    </row>
    <row r="47" spans="1:12" x14ac:dyDescent="0.25">
      <c r="A47" s="315"/>
      <c r="B47" s="426" t="s">
        <v>66</v>
      </c>
      <c r="C47" s="216"/>
      <c r="D47" s="216"/>
      <c r="E47" s="216"/>
      <c r="F47" s="216"/>
      <c r="G47" s="216"/>
      <c r="H47" s="216"/>
      <c r="I47" s="227"/>
      <c r="J47" s="209"/>
      <c r="K47" s="209"/>
      <c r="L47" s="221"/>
    </row>
    <row r="48" spans="1:12" x14ac:dyDescent="0.25">
      <c r="A48" s="315"/>
      <c r="B48" s="240" t="s">
        <v>67</v>
      </c>
      <c r="C48" s="216"/>
      <c r="D48" s="317"/>
      <c r="E48" s="216"/>
      <c r="F48" s="216"/>
      <c r="G48" s="216"/>
      <c r="H48" s="216"/>
      <c r="I48" s="227"/>
      <c r="J48" s="209"/>
      <c r="K48" s="209"/>
      <c r="L48" s="221"/>
    </row>
    <row r="49" spans="1:12" x14ac:dyDescent="0.25">
      <c r="A49" s="315"/>
      <c r="B49" s="240" t="s">
        <v>68</v>
      </c>
      <c r="C49" s="216"/>
      <c r="D49" s="216"/>
      <c r="E49" s="216"/>
      <c r="F49" s="216"/>
      <c r="G49" s="216"/>
      <c r="H49" s="216"/>
      <c r="I49" s="227"/>
      <c r="J49" s="209"/>
      <c r="K49" s="209"/>
      <c r="L49" s="221"/>
    </row>
    <row r="50" spans="1:12" x14ac:dyDescent="0.3">
      <c r="A50" s="315"/>
      <c r="B50" s="292" t="s">
        <v>69</v>
      </c>
      <c r="C50" s="216"/>
      <c r="D50" s="216"/>
      <c r="E50" s="216"/>
      <c r="F50" s="216"/>
      <c r="G50" s="216"/>
      <c r="H50" s="216"/>
      <c r="I50" s="227"/>
      <c r="J50" s="209"/>
      <c r="K50" s="209"/>
      <c r="L50" s="221"/>
    </row>
    <row r="51" spans="1:12" x14ac:dyDescent="0.25">
      <c r="A51" s="315"/>
      <c r="B51" s="427" t="s">
        <v>70</v>
      </c>
      <c r="C51" s="216"/>
      <c r="D51" s="216"/>
      <c r="E51" s="216"/>
      <c r="F51" s="216"/>
      <c r="G51" s="216"/>
      <c r="H51" s="216"/>
      <c r="I51" s="227"/>
      <c r="J51" s="209"/>
      <c r="K51" s="209"/>
      <c r="L51" s="221"/>
    </row>
    <row r="52" spans="1:12" x14ac:dyDescent="0.25">
      <c r="A52" s="315"/>
      <c r="B52" s="209" t="s">
        <v>71</v>
      </c>
      <c r="C52" s="216"/>
      <c r="D52" s="216"/>
      <c r="E52" s="216"/>
      <c r="F52" s="216"/>
      <c r="G52" s="216"/>
      <c r="H52" s="216"/>
      <c r="I52" s="227"/>
      <c r="J52" s="209"/>
      <c r="K52" s="209"/>
      <c r="L52" s="221"/>
    </row>
    <row r="53" spans="1:12" x14ac:dyDescent="0.25">
      <c r="A53" s="315"/>
      <c r="B53" s="209" t="s">
        <v>72</v>
      </c>
      <c r="C53" s="216"/>
      <c r="D53" s="216"/>
      <c r="E53" s="216"/>
      <c r="F53" s="216"/>
      <c r="G53" s="216"/>
      <c r="H53" s="216"/>
      <c r="I53" s="227"/>
      <c r="J53" s="209"/>
      <c r="K53" s="209"/>
      <c r="L53" s="221"/>
    </row>
    <row r="54" spans="1:12" x14ac:dyDescent="0.25">
      <c r="A54" s="315"/>
      <c r="B54" s="209" t="s">
        <v>73</v>
      </c>
      <c r="C54" s="216"/>
      <c r="D54" s="216"/>
      <c r="E54" s="216"/>
      <c r="F54" s="216"/>
      <c r="G54" s="216"/>
      <c r="H54" s="216"/>
      <c r="I54" s="227"/>
      <c r="J54" s="209"/>
      <c r="K54" s="209"/>
      <c r="L54" s="221"/>
    </row>
    <row r="55" spans="1:12" x14ac:dyDescent="0.25">
      <c r="A55" s="315"/>
      <c r="B55" s="209" t="s">
        <v>74</v>
      </c>
      <c r="C55" s="216"/>
      <c r="D55" s="216"/>
      <c r="E55" s="216"/>
      <c r="F55" s="216"/>
      <c r="G55" s="216"/>
      <c r="H55" s="216"/>
      <c r="I55" s="227"/>
      <c r="J55" s="209"/>
      <c r="K55" s="209"/>
      <c r="L55" s="221"/>
    </row>
    <row r="56" spans="1:12" x14ac:dyDescent="0.25">
      <c r="A56" s="315"/>
      <c r="B56" s="209" t="s">
        <v>75</v>
      </c>
      <c r="C56" s="216"/>
      <c r="D56" s="216"/>
      <c r="E56" s="216"/>
      <c r="F56" s="216"/>
      <c r="G56" s="216"/>
      <c r="H56" s="216"/>
      <c r="I56" s="227"/>
      <c r="J56" s="209"/>
      <c r="K56" s="209"/>
      <c r="L56" s="221"/>
    </row>
    <row r="57" spans="1:12" x14ac:dyDescent="0.25">
      <c r="A57" s="308"/>
      <c r="B57" s="209" t="s">
        <v>76</v>
      </c>
      <c r="C57" s="209"/>
      <c r="D57" s="209"/>
      <c r="E57" s="209"/>
      <c r="F57" s="209"/>
      <c r="G57" s="209"/>
      <c r="H57" s="209"/>
      <c r="I57" s="209"/>
      <c r="J57" s="216"/>
      <c r="K57" s="209"/>
      <c r="L57" s="209"/>
    </row>
    <row r="58" spans="1:12" x14ac:dyDescent="0.25">
      <c r="A58" s="209"/>
      <c r="C58" s="209"/>
      <c r="D58" s="209"/>
      <c r="E58" s="209"/>
      <c r="F58" s="209"/>
      <c r="G58" s="209"/>
      <c r="H58" s="209"/>
      <c r="I58" s="209"/>
      <c r="J58" s="216"/>
      <c r="K58" s="209"/>
      <c r="L58" s="209"/>
    </row>
    <row r="59" spans="1:12" x14ac:dyDescent="0.25">
      <c r="A59" s="212" t="s">
        <v>77</v>
      </c>
      <c r="B59" s="212" t="s">
        <v>78</v>
      </c>
      <c r="C59" s="209"/>
      <c r="D59" s="209"/>
      <c r="E59" s="209"/>
      <c r="F59" s="209"/>
      <c r="G59" s="209"/>
      <c r="H59" s="209"/>
      <c r="I59" s="209"/>
      <c r="J59" s="209"/>
      <c r="K59" s="209"/>
      <c r="L59" s="209"/>
    </row>
    <row r="60" spans="1:12" x14ac:dyDescent="0.25">
      <c r="A60" s="212"/>
      <c r="B60" s="209" t="s">
        <v>79</v>
      </c>
      <c r="C60" s="209"/>
      <c r="D60" s="209"/>
      <c r="E60" s="209"/>
      <c r="F60" s="209"/>
      <c r="G60" s="209"/>
      <c r="H60" s="209"/>
      <c r="I60" s="209"/>
      <c r="J60" s="209"/>
      <c r="K60" s="209"/>
      <c r="L60" s="209"/>
    </row>
    <row r="61" spans="1:12" ht="9" customHeight="1" x14ac:dyDescent="0.25">
      <c r="A61" s="212"/>
      <c r="B61" s="209"/>
      <c r="C61" s="209"/>
      <c r="D61" s="209"/>
      <c r="E61" s="209"/>
      <c r="F61" s="209"/>
      <c r="G61" s="209"/>
      <c r="H61" s="209"/>
      <c r="I61" s="209"/>
      <c r="J61" s="209"/>
      <c r="K61" s="209"/>
      <c r="L61" s="209"/>
    </row>
    <row r="62" spans="1:12" x14ac:dyDescent="0.25">
      <c r="A62" s="212" t="s">
        <v>80</v>
      </c>
      <c r="B62" s="212" t="s">
        <v>81</v>
      </c>
      <c r="C62" s="209"/>
      <c r="D62" s="209"/>
      <c r="E62" s="209"/>
      <c r="F62" s="209"/>
      <c r="G62" s="209"/>
      <c r="H62" s="209"/>
      <c r="I62" s="209"/>
      <c r="J62" s="209"/>
      <c r="K62" s="209"/>
      <c r="L62" s="209"/>
    </row>
    <row r="63" spans="1:12" x14ac:dyDescent="0.25">
      <c r="A63" s="209"/>
      <c r="B63" s="210"/>
      <c r="C63" s="210"/>
      <c r="D63" s="209"/>
      <c r="E63" s="209"/>
      <c r="F63" s="209"/>
      <c r="G63" s="209"/>
      <c r="H63" s="209"/>
      <c r="I63" s="209"/>
      <c r="J63" s="209"/>
      <c r="K63" s="209"/>
      <c r="L63" s="231"/>
    </row>
    <row r="64" spans="1:12" x14ac:dyDescent="0.25">
      <c r="A64" s="209"/>
      <c r="B64" s="209"/>
      <c r="C64" s="209"/>
      <c r="D64" s="209"/>
      <c r="E64" s="209"/>
      <c r="F64" s="209"/>
      <c r="G64" s="209"/>
      <c r="H64" s="209"/>
      <c r="I64" s="209"/>
      <c r="J64" s="209"/>
      <c r="K64" s="209"/>
      <c r="L64" s="232"/>
    </row>
    <row r="66" spans="1:12" x14ac:dyDescent="0.25">
      <c r="J66" s="5"/>
    </row>
    <row r="67" spans="1:12" x14ac:dyDescent="0.25">
      <c r="J67" s="6"/>
      <c r="K67" s="6"/>
    </row>
    <row r="68" spans="1:12" x14ac:dyDescent="0.25">
      <c r="J68" s="7"/>
      <c r="K68" s="7"/>
    </row>
    <row r="71" spans="1:12" x14ac:dyDescent="0.25">
      <c r="A71" s="859"/>
      <c r="B71" s="859"/>
      <c r="C71" s="859"/>
      <c r="D71" s="859"/>
      <c r="E71" s="859"/>
      <c r="F71" s="859"/>
      <c r="G71" s="859"/>
      <c r="H71" s="859"/>
      <c r="I71" s="859"/>
      <c r="J71" s="859"/>
      <c r="K71" s="859"/>
      <c r="L71" s="859"/>
    </row>
    <row r="72" spans="1:12" x14ac:dyDescent="0.25">
      <c r="A72" s="859"/>
      <c r="B72" s="859"/>
      <c r="C72" s="859"/>
      <c r="D72" s="859"/>
      <c r="E72" s="859"/>
      <c r="F72" s="859"/>
      <c r="G72" s="859"/>
      <c r="H72" s="859"/>
      <c r="I72" s="859"/>
      <c r="J72" s="859"/>
      <c r="K72" s="859"/>
      <c r="L72" s="859"/>
    </row>
  </sheetData>
  <mergeCells count="23">
    <mergeCell ref="A1:L1"/>
    <mergeCell ref="A2:L2"/>
    <mergeCell ref="D15:E15"/>
    <mergeCell ref="F15:G15"/>
    <mergeCell ref="D16:E16"/>
    <mergeCell ref="D17:E17"/>
    <mergeCell ref="F16:G16"/>
    <mergeCell ref="B25:B26"/>
    <mergeCell ref="F17:G17"/>
    <mergeCell ref="C25:H26"/>
    <mergeCell ref="K25:L25"/>
    <mergeCell ref="K26:L26"/>
    <mergeCell ref="I25:J26"/>
    <mergeCell ref="A72:L72"/>
    <mergeCell ref="A71:L71"/>
    <mergeCell ref="K36:K40"/>
    <mergeCell ref="C36:C40"/>
    <mergeCell ref="K34:K35"/>
    <mergeCell ref="C34:C35"/>
    <mergeCell ref="D34:D35"/>
    <mergeCell ref="E34:J34"/>
    <mergeCell ref="L34:L35"/>
    <mergeCell ref="B34:B35"/>
  </mergeCells>
  <printOptions horizontalCentered="1"/>
  <pageMargins left="0.5" right="0.25" top="0.5" bottom="0.25" header="0.25" footer="0.25"/>
  <pageSetup paperSize="9" scale="66" orientation="portrait" horizontalDpi="4294967294" r:id="rId1"/>
  <headerFooter>
    <oddHeader>&amp;R&amp;"-,Regular"&amp;8WF.LK 054-18 / REV : 1</oddHeader>
    <oddFooter xml:space="preserve">&amp;C&amp;8&amp;K00-024software treadmill 2017
</oddFooter>
  </headerFooter>
  <rowBreaks count="1" manualBreakCount="1">
    <brk id="64" max="12" man="1"/>
  </rowBreaks>
  <drawing r:id="rId2"/>
  <legacyDrawing r:id="rId3"/>
  <oleObjects>
    <mc:AlternateContent xmlns:mc="http://schemas.openxmlformats.org/markup-compatibility/2006">
      <mc:Choice Requires="x14">
        <oleObject progId="Equation.3" shapeId="7169" r:id="rId4">
          <objectPr defaultSize="0" autoPict="0" r:id="rId5">
            <anchor moveWithCells="1" sizeWithCells="1">
              <from>
                <xdr:col>10</xdr:col>
                <xdr:colOff>12700</xdr:colOff>
                <xdr:row>3</xdr:row>
                <xdr:rowOff>0</xdr:rowOff>
              </from>
              <to>
                <xdr:col>10</xdr:col>
                <xdr:colOff>412750</xdr:colOff>
                <xdr:row>3</xdr:row>
                <xdr:rowOff>0</xdr:rowOff>
              </to>
            </anchor>
          </objectPr>
        </oleObject>
      </mc:Choice>
      <mc:Fallback>
        <oleObject progId="Equation.3" shapeId="7169" r:id="rId4"/>
      </mc:Fallback>
    </mc:AlternateContent>
    <mc:AlternateContent xmlns:mc="http://schemas.openxmlformats.org/markup-compatibility/2006">
      <mc:Choice Requires="x14">
        <oleObject progId="Equation.3" shapeId="7170" r:id="rId6">
          <objectPr defaultSize="0" autoPict="0" r:id="rId5">
            <anchor moveWithCells="1" sizeWithCells="1">
              <from>
                <xdr:col>10</xdr:col>
                <xdr:colOff>12700</xdr:colOff>
                <xdr:row>3</xdr:row>
                <xdr:rowOff>0</xdr:rowOff>
              </from>
              <to>
                <xdr:col>10</xdr:col>
                <xdr:colOff>412750</xdr:colOff>
                <xdr:row>3</xdr:row>
                <xdr:rowOff>0</xdr:rowOff>
              </to>
            </anchor>
          </objectPr>
        </oleObject>
      </mc:Choice>
      <mc:Fallback>
        <oleObject progId="Equation.3" shapeId="7170" r:id="rId6"/>
      </mc:Fallback>
    </mc:AlternateContent>
    <mc:AlternateContent xmlns:mc="http://schemas.openxmlformats.org/markup-compatibility/2006">
      <mc:Choice Requires="x14">
        <oleObject progId="Equation.3" shapeId="7171" r:id="rId7">
          <objectPr defaultSize="0" autoPict="0" r:id="rId5">
            <anchor moveWithCells="1" sizeWithCells="1">
              <from>
                <xdr:col>10</xdr:col>
                <xdr:colOff>12700</xdr:colOff>
                <xdr:row>3</xdr:row>
                <xdr:rowOff>0</xdr:rowOff>
              </from>
              <to>
                <xdr:col>10</xdr:col>
                <xdr:colOff>412750</xdr:colOff>
                <xdr:row>3</xdr:row>
                <xdr:rowOff>0</xdr:rowOff>
              </to>
            </anchor>
          </objectPr>
        </oleObject>
      </mc:Choice>
      <mc:Fallback>
        <oleObject progId="Equation.3" shapeId="7171" r:id="rId7"/>
      </mc:Fallback>
    </mc:AlternateContent>
    <mc:AlternateContent xmlns:mc="http://schemas.openxmlformats.org/markup-compatibility/2006">
      <mc:Choice Requires="x14">
        <oleObject progId="Equation.3" shapeId="7172" r:id="rId8">
          <objectPr defaultSize="0" autoPict="0" r:id="rId5">
            <anchor moveWithCells="1" sizeWithCells="1">
              <from>
                <xdr:col>10</xdr:col>
                <xdr:colOff>12700</xdr:colOff>
                <xdr:row>3</xdr:row>
                <xdr:rowOff>0</xdr:rowOff>
              </from>
              <to>
                <xdr:col>10</xdr:col>
                <xdr:colOff>412750</xdr:colOff>
                <xdr:row>3</xdr:row>
                <xdr:rowOff>0</xdr:rowOff>
              </to>
            </anchor>
          </objectPr>
        </oleObject>
      </mc:Choice>
      <mc:Fallback>
        <oleObject progId="Equation.3" shapeId="7172" r:id="rId8"/>
      </mc:Fallback>
    </mc:AlternateContent>
    <mc:AlternateContent xmlns:mc="http://schemas.openxmlformats.org/markup-compatibility/2006">
      <mc:Choice Requires="x14">
        <oleObject progId="Equation.3" shapeId="7173" r:id="rId9">
          <objectPr defaultSize="0" autoPict="0" r:id="rId5">
            <anchor moveWithCells="1" sizeWithCells="1">
              <from>
                <xdr:col>10</xdr:col>
                <xdr:colOff>12700</xdr:colOff>
                <xdr:row>3</xdr:row>
                <xdr:rowOff>0</xdr:rowOff>
              </from>
              <to>
                <xdr:col>10</xdr:col>
                <xdr:colOff>412750</xdr:colOff>
                <xdr:row>3</xdr:row>
                <xdr:rowOff>0</xdr:rowOff>
              </to>
            </anchor>
          </objectPr>
        </oleObject>
      </mc:Choice>
      <mc:Fallback>
        <oleObject progId="Equation.3" shapeId="7173" r:id="rId9"/>
      </mc:Fallback>
    </mc:AlternateContent>
    <mc:AlternateContent xmlns:mc="http://schemas.openxmlformats.org/markup-compatibility/2006">
      <mc:Choice Requires="x14">
        <oleObject progId="Equation.3" shapeId="7174" r:id="rId10">
          <objectPr defaultSize="0" autoPict="0" r:id="rId5">
            <anchor moveWithCells="1" sizeWithCells="1">
              <from>
                <xdr:col>10</xdr:col>
                <xdr:colOff>12700</xdr:colOff>
                <xdr:row>3</xdr:row>
                <xdr:rowOff>0</xdr:rowOff>
              </from>
              <to>
                <xdr:col>10</xdr:col>
                <xdr:colOff>412750</xdr:colOff>
                <xdr:row>3</xdr:row>
                <xdr:rowOff>0</xdr:rowOff>
              </to>
            </anchor>
          </objectPr>
        </oleObject>
      </mc:Choice>
      <mc:Fallback>
        <oleObject progId="Equation.3" shapeId="7174" r:id="rId10"/>
      </mc:Fallback>
    </mc:AlternateContent>
    <mc:AlternateContent xmlns:mc="http://schemas.openxmlformats.org/markup-compatibility/2006">
      <mc:Choice Requires="x14">
        <oleObject progId="Equation.3" shapeId="7175" r:id="rId11">
          <objectPr defaultSize="0" autoPict="0" r:id="rId5">
            <anchor moveWithCells="1" sizeWithCells="1">
              <from>
                <xdr:col>10</xdr:col>
                <xdr:colOff>12700</xdr:colOff>
                <xdr:row>3</xdr:row>
                <xdr:rowOff>0</xdr:rowOff>
              </from>
              <to>
                <xdr:col>10</xdr:col>
                <xdr:colOff>412750</xdr:colOff>
                <xdr:row>3</xdr:row>
                <xdr:rowOff>0</xdr:rowOff>
              </to>
            </anchor>
          </objectPr>
        </oleObject>
      </mc:Choice>
      <mc:Fallback>
        <oleObject progId="Equation.3" shapeId="7175" r:id="rId11"/>
      </mc:Fallback>
    </mc:AlternateContent>
    <mc:AlternateContent xmlns:mc="http://schemas.openxmlformats.org/markup-compatibility/2006">
      <mc:Choice Requires="x14">
        <oleObject progId="Equation.3" shapeId="7176" r:id="rId12">
          <objectPr defaultSize="0" autoPict="0" r:id="rId5">
            <anchor moveWithCells="1" sizeWithCells="1">
              <from>
                <xdr:col>10</xdr:col>
                <xdr:colOff>12700</xdr:colOff>
                <xdr:row>3</xdr:row>
                <xdr:rowOff>0</xdr:rowOff>
              </from>
              <to>
                <xdr:col>10</xdr:col>
                <xdr:colOff>412750</xdr:colOff>
                <xdr:row>3</xdr:row>
                <xdr:rowOff>0</xdr:rowOff>
              </to>
            </anchor>
          </objectPr>
        </oleObject>
      </mc:Choice>
      <mc:Fallback>
        <oleObject progId="Equation.3" shapeId="7176" r:id="rId12"/>
      </mc:Fallback>
    </mc:AlternateContent>
    <mc:AlternateContent xmlns:mc="http://schemas.openxmlformats.org/markup-compatibility/2006">
      <mc:Choice Requires="x14">
        <oleObject progId="Equation.3" shapeId="7177" r:id="rId13">
          <objectPr defaultSize="0" autoPict="0" r:id="rId5">
            <anchor moveWithCells="1" sizeWithCells="1">
              <from>
                <xdr:col>10</xdr:col>
                <xdr:colOff>12700</xdr:colOff>
                <xdr:row>3</xdr:row>
                <xdr:rowOff>0</xdr:rowOff>
              </from>
              <to>
                <xdr:col>10</xdr:col>
                <xdr:colOff>412750</xdr:colOff>
                <xdr:row>3</xdr:row>
                <xdr:rowOff>0</xdr:rowOff>
              </to>
            </anchor>
          </objectPr>
        </oleObject>
      </mc:Choice>
      <mc:Fallback>
        <oleObject progId="Equation.3" shapeId="7177" r:id="rId13"/>
      </mc:Fallback>
    </mc:AlternateContent>
    <mc:AlternateContent xmlns:mc="http://schemas.openxmlformats.org/markup-compatibility/2006">
      <mc:Choice Requires="x14">
        <oleObject progId="Equation.3" shapeId="7178" r:id="rId14">
          <objectPr defaultSize="0" autoPict="0" r:id="rId5">
            <anchor moveWithCells="1" sizeWithCells="1">
              <from>
                <xdr:col>10</xdr:col>
                <xdr:colOff>12700</xdr:colOff>
                <xdr:row>3</xdr:row>
                <xdr:rowOff>0</xdr:rowOff>
              </from>
              <to>
                <xdr:col>10</xdr:col>
                <xdr:colOff>412750</xdr:colOff>
                <xdr:row>3</xdr:row>
                <xdr:rowOff>0</xdr:rowOff>
              </to>
            </anchor>
          </objectPr>
        </oleObject>
      </mc:Choice>
      <mc:Fallback>
        <oleObject progId="Equation.3" shapeId="7178" r:id="rId14"/>
      </mc:Fallback>
    </mc:AlternateContent>
    <mc:AlternateContent xmlns:mc="http://schemas.openxmlformats.org/markup-compatibility/2006">
      <mc:Choice Requires="x14">
        <oleObject progId="Equation.3" shapeId="7179" r:id="rId15">
          <objectPr defaultSize="0" autoPict="0" r:id="rId5">
            <anchor moveWithCells="1" sizeWithCells="1">
              <from>
                <xdr:col>10</xdr:col>
                <xdr:colOff>38100</xdr:colOff>
                <xdr:row>3</xdr:row>
                <xdr:rowOff>0</xdr:rowOff>
              </from>
              <to>
                <xdr:col>10</xdr:col>
                <xdr:colOff>419100</xdr:colOff>
                <xdr:row>3</xdr:row>
                <xdr:rowOff>0</xdr:rowOff>
              </to>
            </anchor>
          </objectPr>
        </oleObject>
      </mc:Choice>
      <mc:Fallback>
        <oleObject progId="Equation.3" shapeId="7179" r:id="rId15"/>
      </mc:Fallback>
    </mc:AlternateContent>
    <mc:AlternateContent xmlns:mc="http://schemas.openxmlformats.org/markup-compatibility/2006">
      <mc:Choice Requires="x14">
        <oleObject progId="Equation.3" shapeId="7180" r:id="rId16">
          <objectPr defaultSize="0" autoPict="0" r:id="rId5">
            <anchor moveWithCells="1" sizeWithCells="1">
              <from>
                <xdr:col>10</xdr:col>
                <xdr:colOff>12700</xdr:colOff>
                <xdr:row>95</xdr:row>
                <xdr:rowOff>0</xdr:rowOff>
              </from>
              <to>
                <xdr:col>10</xdr:col>
                <xdr:colOff>412750</xdr:colOff>
                <xdr:row>95</xdr:row>
                <xdr:rowOff>0</xdr:rowOff>
              </to>
            </anchor>
          </objectPr>
        </oleObject>
      </mc:Choice>
      <mc:Fallback>
        <oleObject progId="Equation.3" shapeId="7180" r:id="rId16"/>
      </mc:Fallback>
    </mc:AlternateContent>
    <mc:AlternateContent xmlns:mc="http://schemas.openxmlformats.org/markup-compatibility/2006">
      <mc:Choice Requires="x14">
        <oleObject progId="Equation.3" shapeId="7181" r:id="rId17">
          <objectPr defaultSize="0" autoPict="0" r:id="rId5">
            <anchor moveWithCells="1" sizeWithCells="1">
              <from>
                <xdr:col>10</xdr:col>
                <xdr:colOff>12700</xdr:colOff>
                <xdr:row>95</xdr:row>
                <xdr:rowOff>0</xdr:rowOff>
              </from>
              <to>
                <xdr:col>10</xdr:col>
                <xdr:colOff>412750</xdr:colOff>
                <xdr:row>95</xdr:row>
                <xdr:rowOff>0</xdr:rowOff>
              </to>
            </anchor>
          </objectPr>
        </oleObject>
      </mc:Choice>
      <mc:Fallback>
        <oleObject progId="Equation.3" shapeId="7181" r:id="rId17"/>
      </mc:Fallback>
    </mc:AlternateContent>
    <mc:AlternateContent xmlns:mc="http://schemas.openxmlformats.org/markup-compatibility/2006">
      <mc:Choice Requires="x14">
        <oleObject progId="Equation.3" shapeId="7182" r:id="rId18">
          <objectPr defaultSize="0" autoPict="0" r:id="rId5">
            <anchor moveWithCells="1" sizeWithCells="1">
              <from>
                <xdr:col>10</xdr:col>
                <xdr:colOff>12700</xdr:colOff>
                <xdr:row>95</xdr:row>
                <xdr:rowOff>0</xdr:rowOff>
              </from>
              <to>
                <xdr:col>10</xdr:col>
                <xdr:colOff>412750</xdr:colOff>
                <xdr:row>95</xdr:row>
                <xdr:rowOff>0</xdr:rowOff>
              </to>
            </anchor>
          </objectPr>
        </oleObject>
      </mc:Choice>
      <mc:Fallback>
        <oleObject progId="Equation.3" shapeId="7182" r:id="rId18"/>
      </mc:Fallback>
    </mc:AlternateContent>
    <mc:AlternateContent xmlns:mc="http://schemas.openxmlformats.org/markup-compatibility/2006">
      <mc:Choice Requires="x14">
        <oleObject progId="Equation.3" shapeId="7183" r:id="rId19">
          <objectPr defaultSize="0" autoPict="0" r:id="rId5">
            <anchor moveWithCells="1" sizeWithCells="1">
              <from>
                <xdr:col>10</xdr:col>
                <xdr:colOff>12700</xdr:colOff>
                <xdr:row>95</xdr:row>
                <xdr:rowOff>0</xdr:rowOff>
              </from>
              <to>
                <xdr:col>10</xdr:col>
                <xdr:colOff>412750</xdr:colOff>
                <xdr:row>95</xdr:row>
                <xdr:rowOff>0</xdr:rowOff>
              </to>
            </anchor>
          </objectPr>
        </oleObject>
      </mc:Choice>
      <mc:Fallback>
        <oleObject progId="Equation.3" shapeId="7183" r:id="rId19"/>
      </mc:Fallback>
    </mc:AlternateContent>
    <mc:AlternateContent xmlns:mc="http://schemas.openxmlformats.org/markup-compatibility/2006">
      <mc:Choice Requires="x14">
        <oleObject progId="Equation.3" shapeId="7184" r:id="rId20">
          <objectPr defaultSize="0" autoPict="0" r:id="rId5">
            <anchor moveWithCells="1" sizeWithCells="1">
              <from>
                <xdr:col>10</xdr:col>
                <xdr:colOff>12700</xdr:colOff>
                <xdr:row>95</xdr:row>
                <xdr:rowOff>0</xdr:rowOff>
              </from>
              <to>
                <xdr:col>10</xdr:col>
                <xdr:colOff>412750</xdr:colOff>
                <xdr:row>95</xdr:row>
                <xdr:rowOff>0</xdr:rowOff>
              </to>
            </anchor>
          </objectPr>
        </oleObject>
      </mc:Choice>
      <mc:Fallback>
        <oleObject progId="Equation.3" shapeId="7184" r:id="rId20"/>
      </mc:Fallback>
    </mc:AlternateContent>
    <mc:AlternateContent xmlns:mc="http://schemas.openxmlformats.org/markup-compatibility/2006">
      <mc:Choice Requires="x14">
        <oleObject progId="Equation.3" shapeId="7185" r:id="rId21">
          <objectPr defaultSize="0" autoPict="0" r:id="rId5">
            <anchor moveWithCells="1" sizeWithCells="1">
              <from>
                <xdr:col>10</xdr:col>
                <xdr:colOff>12700</xdr:colOff>
                <xdr:row>95</xdr:row>
                <xdr:rowOff>0</xdr:rowOff>
              </from>
              <to>
                <xdr:col>10</xdr:col>
                <xdr:colOff>412750</xdr:colOff>
                <xdr:row>95</xdr:row>
                <xdr:rowOff>0</xdr:rowOff>
              </to>
            </anchor>
          </objectPr>
        </oleObject>
      </mc:Choice>
      <mc:Fallback>
        <oleObject progId="Equation.3" shapeId="7185" r:id="rId21"/>
      </mc:Fallback>
    </mc:AlternateContent>
    <mc:AlternateContent xmlns:mc="http://schemas.openxmlformats.org/markup-compatibility/2006">
      <mc:Choice Requires="x14">
        <oleObject progId="Equation.3" shapeId="7186" r:id="rId22">
          <objectPr defaultSize="0" autoPict="0" r:id="rId5">
            <anchor moveWithCells="1" sizeWithCells="1">
              <from>
                <xdr:col>10</xdr:col>
                <xdr:colOff>12700</xdr:colOff>
                <xdr:row>95</xdr:row>
                <xdr:rowOff>0</xdr:rowOff>
              </from>
              <to>
                <xdr:col>10</xdr:col>
                <xdr:colOff>412750</xdr:colOff>
                <xdr:row>95</xdr:row>
                <xdr:rowOff>0</xdr:rowOff>
              </to>
            </anchor>
          </objectPr>
        </oleObject>
      </mc:Choice>
      <mc:Fallback>
        <oleObject progId="Equation.3" shapeId="7186" r:id="rId22"/>
      </mc:Fallback>
    </mc:AlternateContent>
    <mc:AlternateContent xmlns:mc="http://schemas.openxmlformats.org/markup-compatibility/2006">
      <mc:Choice Requires="x14">
        <oleObject progId="Equation.3" shapeId="7187" r:id="rId23">
          <objectPr defaultSize="0" autoPict="0" r:id="rId5">
            <anchor moveWithCells="1" sizeWithCells="1">
              <from>
                <xdr:col>10</xdr:col>
                <xdr:colOff>12700</xdr:colOff>
                <xdr:row>95</xdr:row>
                <xdr:rowOff>0</xdr:rowOff>
              </from>
              <to>
                <xdr:col>10</xdr:col>
                <xdr:colOff>412750</xdr:colOff>
                <xdr:row>95</xdr:row>
                <xdr:rowOff>0</xdr:rowOff>
              </to>
            </anchor>
          </objectPr>
        </oleObject>
      </mc:Choice>
      <mc:Fallback>
        <oleObject progId="Equation.3" shapeId="7187" r:id="rId23"/>
      </mc:Fallback>
    </mc:AlternateContent>
    <mc:AlternateContent xmlns:mc="http://schemas.openxmlformats.org/markup-compatibility/2006">
      <mc:Choice Requires="x14">
        <oleObject progId="Equation.3" shapeId="7188" r:id="rId24">
          <objectPr defaultSize="0" autoPict="0" r:id="rId5">
            <anchor moveWithCells="1" sizeWithCells="1">
              <from>
                <xdr:col>10</xdr:col>
                <xdr:colOff>12700</xdr:colOff>
                <xdr:row>95</xdr:row>
                <xdr:rowOff>0</xdr:rowOff>
              </from>
              <to>
                <xdr:col>10</xdr:col>
                <xdr:colOff>412750</xdr:colOff>
                <xdr:row>95</xdr:row>
                <xdr:rowOff>0</xdr:rowOff>
              </to>
            </anchor>
          </objectPr>
        </oleObject>
      </mc:Choice>
      <mc:Fallback>
        <oleObject progId="Equation.3" shapeId="7188" r:id="rId24"/>
      </mc:Fallback>
    </mc:AlternateContent>
    <mc:AlternateContent xmlns:mc="http://schemas.openxmlformats.org/markup-compatibility/2006">
      <mc:Choice Requires="x14">
        <oleObject progId="Equation.3" shapeId="7189" r:id="rId25">
          <objectPr defaultSize="0" autoPict="0" r:id="rId5">
            <anchor moveWithCells="1" sizeWithCells="1">
              <from>
                <xdr:col>10</xdr:col>
                <xdr:colOff>12700</xdr:colOff>
                <xdr:row>95</xdr:row>
                <xdr:rowOff>0</xdr:rowOff>
              </from>
              <to>
                <xdr:col>10</xdr:col>
                <xdr:colOff>412750</xdr:colOff>
                <xdr:row>95</xdr:row>
                <xdr:rowOff>0</xdr:rowOff>
              </to>
            </anchor>
          </objectPr>
        </oleObject>
      </mc:Choice>
      <mc:Fallback>
        <oleObject progId="Equation.3" shapeId="7189" r:id="rId25"/>
      </mc:Fallback>
    </mc:AlternateContent>
    <mc:AlternateContent xmlns:mc="http://schemas.openxmlformats.org/markup-compatibility/2006">
      <mc:Choice Requires="x14">
        <oleObject progId="Equation.3" shapeId="7190" r:id="rId26">
          <objectPr defaultSize="0" autoPict="0" r:id="rId5">
            <anchor moveWithCells="1" sizeWithCells="1">
              <from>
                <xdr:col>10</xdr:col>
                <xdr:colOff>38100</xdr:colOff>
                <xdr:row>95</xdr:row>
                <xdr:rowOff>0</xdr:rowOff>
              </from>
              <to>
                <xdr:col>10</xdr:col>
                <xdr:colOff>419100</xdr:colOff>
                <xdr:row>95</xdr:row>
                <xdr:rowOff>0</xdr:rowOff>
              </to>
            </anchor>
          </objectPr>
        </oleObject>
      </mc:Choice>
      <mc:Fallback>
        <oleObject progId="Equation.3" shapeId="7190" r:id="rId26"/>
      </mc:Fallback>
    </mc:AlternateContent>
    <mc:AlternateContent xmlns:mc="http://schemas.openxmlformats.org/markup-compatibility/2006">
      <mc:Choice Requires="x14">
        <oleObject progId="Equation.3" shapeId="7191" r:id="rId27">
          <objectPr defaultSize="0" autoPict="0" r:id="rId5">
            <anchor moveWithCells="1" sizeWithCells="1">
              <from>
                <xdr:col>10</xdr:col>
                <xdr:colOff>12700</xdr:colOff>
                <xdr:row>31</xdr:row>
                <xdr:rowOff>0</xdr:rowOff>
              </from>
              <to>
                <xdr:col>10</xdr:col>
                <xdr:colOff>412750</xdr:colOff>
                <xdr:row>31</xdr:row>
                <xdr:rowOff>0</xdr:rowOff>
              </to>
            </anchor>
          </objectPr>
        </oleObject>
      </mc:Choice>
      <mc:Fallback>
        <oleObject progId="Equation.3" shapeId="7191" r:id="rId27"/>
      </mc:Fallback>
    </mc:AlternateContent>
    <mc:AlternateContent xmlns:mc="http://schemas.openxmlformats.org/markup-compatibility/2006">
      <mc:Choice Requires="x14">
        <oleObject progId="Equation.3" shapeId="7192" r:id="rId28">
          <objectPr defaultSize="0" autoPict="0" r:id="rId5">
            <anchor moveWithCells="1" sizeWithCells="1">
              <from>
                <xdr:col>10</xdr:col>
                <xdr:colOff>12700</xdr:colOff>
                <xdr:row>31</xdr:row>
                <xdr:rowOff>0</xdr:rowOff>
              </from>
              <to>
                <xdr:col>10</xdr:col>
                <xdr:colOff>412750</xdr:colOff>
                <xdr:row>31</xdr:row>
                <xdr:rowOff>0</xdr:rowOff>
              </to>
            </anchor>
          </objectPr>
        </oleObject>
      </mc:Choice>
      <mc:Fallback>
        <oleObject progId="Equation.3" shapeId="7192" r:id="rId28"/>
      </mc:Fallback>
    </mc:AlternateContent>
    <mc:AlternateContent xmlns:mc="http://schemas.openxmlformats.org/markup-compatibility/2006">
      <mc:Choice Requires="x14">
        <oleObject progId="Equation.3" shapeId="7193" r:id="rId29">
          <objectPr defaultSize="0" autoPict="0" r:id="rId5">
            <anchor moveWithCells="1" sizeWithCells="1">
              <from>
                <xdr:col>10</xdr:col>
                <xdr:colOff>12700</xdr:colOff>
                <xdr:row>31</xdr:row>
                <xdr:rowOff>0</xdr:rowOff>
              </from>
              <to>
                <xdr:col>10</xdr:col>
                <xdr:colOff>412750</xdr:colOff>
                <xdr:row>31</xdr:row>
                <xdr:rowOff>0</xdr:rowOff>
              </to>
            </anchor>
          </objectPr>
        </oleObject>
      </mc:Choice>
      <mc:Fallback>
        <oleObject progId="Equation.3" shapeId="7193" r:id="rId29"/>
      </mc:Fallback>
    </mc:AlternateContent>
    <mc:AlternateContent xmlns:mc="http://schemas.openxmlformats.org/markup-compatibility/2006">
      <mc:Choice Requires="x14">
        <oleObject progId="Equation.3" shapeId="7194" r:id="rId30">
          <objectPr defaultSize="0" autoPict="0" r:id="rId5">
            <anchor moveWithCells="1" sizeWithCells="1">
              <from>
                <xdr:col>10</xdr:col>
                <xdr:colOff>12700</xdr:colOff>
                <xdr:row>31</xdr:row>
                <xdr:rowOff>0</xdr:rowOff>
              </from>
              <to>
                <xdr:col>10</xdr:col>
                <xdr:colOff>412750</xdr:colOff>
                <xdr:row>31</xdr:row>
                <xdr:rowOff>0</xdr:rowOff>
              </to>
            </anchor>
          </objectPr>
        </oleObject>
      </mc:Choice>
      <mc:Fallback>
        <oleObject progId="Equation.3" shapeId="7194" r:id="rId30"/>
      </mc:Fallback>
    </mc:AlternateContent>
    <mc:AlternateContent xmlns:mc="http://schemas.openxmlformats.org/markup-compatibility/2006">
      <mc:Choice Requires="x14">
        <oleObject progId="Equation.3" shapeId="7195" r:id="rId31">
          <objectPr defaultSize="0" autoPict="0" r:id="rId5">
            <anchor moveWithCells="1" sizeWithCells="1">
              <from>
                <xdr:col>10</xdr:col>
                <xdr:colOff>12700</xdr:colOff>
                <xdr:row>31</xdr:row>
                <xdr:rowOff>0</xdr:rowOff>
              </from>
              <to>
                <xdr:col>10</xdr:col>
                <xdr:colOff>412750</xdr:colOff>
                <xdr:row>31</xdr:row>
                <xdr:rowOff>0</xdr:rowOff>
              </to>
            </anchor>
          </objectPr>
        </oleObject>
      </mc:Choice>
      <mc:Fallback>
        <oleObject progId="Equation.3" shapeId="7195" r:id="rId31"/>
      </mc:Fallback>
    </mc:AlternateContent>
    <mc:AlternateContent xmlns:mc="http://schemas.openxmlformats.org/markup-compatibility/2006">
      <mc:Choice Requires="x14">
        <oleObject progId="Equation.3" shapeId="7196" r:id="rId32">
          <objectPr defaultSize="0" autoPict="0" r:id="rId5">
            <anchor moveWithCells="1" sizeWithCells="1">
              <from>
                <xdr:col>10</xdr:col>
                <xdr:colOff>12700</xdr:colOff>
                <xdr:row>31</xdr:row>
                <xdr:rowOff>0</xdr:rowOff>
              </from>
              <to>
                <xdr:col>10</xdr:col>
                <xdr:colOff>412750</xdr:colOff>
                <xdr:row>31</xdr:row>
                <xdr:rowOff>0</xdr:rowOff>
              </to>
            </anchor>
          </objectPr>
        </oleObject>
      </mc:Choice>
      <mc:Fallback>
        <oleObject progId="Equation.3" shapeId="7196" r:id="rId32"/>
      </mc:Fallback>
    </mc:AlternateContent>
    <mc:AlternateContent xmlns:mc="http://schemas.openxmlformats.org/markup-compatibility/2006">
      <mc:Choice Requires="x14">
        <oleObject progId="Equation.3" shapeId="7197" r:id="rId33">
          <objectPr defaultSize="0" autoPict="0" r:id="rId5">
            <anchor moveWithCells="1" sizeWithCells="1">
              <from>
                <xdr:col>10</xdr:col>
                <xdr:colOff>12700</xdr:colOff>
                <xdr:row>31</xdr:row>
                <xdr:rowOff>0</xdr:rowOff>
              </from>
              <to>
                <xdr:col>10</xdr:col>
                <xdr:colOff>412750</xdr:colOff>
                <xdr:row>31</xdr:row>
                <xdr:rowOff>0</xdr:rowOff>
              </to>
            </anchor>
          </objectPr>
        </oleObject>
      </mc:Choice>
      <mc:Fallback>
        <oleObject progId="Equation.3" shapeId="7197" r:id="rId33"/>
      </mc:Fallback>
    </mc:AlternateContent>
    <mc:AlternateContent xmlns:mc="http://schemas.openxmlformats.org/markup-compatibility/2006">
      <mc:Choice Requires="x14">
        <oleObject progId="Equation.3" shapeId="7198" r:id="rId34">
          <objectPr defaultSize="0" autoPict="0" r:id="rId5">
            <anchor moveWithCells="1" sizeWithCells="1">
              <from>
                <xdr:col>10</xdr:col>
                <xdr:colOff>12700</xdr:colOff>
                <xdr:row>31</xdr:row>
                <xdr:rowOff>0</xdr:rowOff>
              </from>
              <to>
                <xdr:col>10</xdr:col>
                <xdr:colOff>412750</xdr:colOff>
                <xdr:row>31</xdr:row>
                <xdr:rowOff>0</xdr:rowOff>
              </to>
            </anchor>
          </objectPr>
        </oleObject>
      </mc:Choice>
      <mc:Fallback>
        <oleObject progId="Equation.3" shapeId="7198" r:id="rId34"/>
      </mc:Fallback>
    </mc:AlternateContent>
    <mc:AlternateContent xmlns:mc="http://schemas.openxmlformats.org/markup-compatibility/2006">
      <mc:Choice Requires="x14">
        <oleObject progId="Equation.3" shapeId="7199" r:id="rId35">
          <objectPr defaultSize="0" autoPict="0" r:id="rId5">
            <anchor moveWithCells="1" sizeWithCells="1">
              <from>
                <xdr:col>10</xdr:col>
                <xdr:colOff>12700</xdr:colOff>
                <xdr:row>31</xdr:row>
                <xdr:rowOff>0</xdr:rowOff>
              </from>
              <to>
                <xdr:col>10</xdr:col>
                <xdr:colOff>412750</xdr:colOff>
                <xdr:row>31</xdr:row>
                <xdr:rowOff>0</xdr:rowOff>
              </to>
            </anchor>
          </objectPr>
        </oleObject>
      </mc:Choice>
      <mc:Fallback>
        <oleObject progId="Equation.3" shapeId="7199" r:id="rId35"/>
      </mc:Fallback>
    </mc:AlternateContent>
    <mc:AlternateContent xmlns:mc="http://schemas.openxmlformats.org/markup-compatibility/2006">
      <mc:Choice Requires="x14">
        <oleObject progId="Equation.3" shapeId="7200" r:id="rId36">
          <objectPr defaultSize="0" autoPict="0" r:id="rId5">
            <anchor moveWithCells="1" sizeWithCells="1">
              <from>
                <xdr:col>10</xdr:col>
                <xdr:colOff>12700</xdr:colOff>
                <xdr:row>31</xdr:row>
                <xdr:rowOff>0</xdr:rowOff>
              </from>
              <to>
                <xdr:col>10</xdr:col>
                <xdr:colOff>412750</xdr:colOff>
                <xdr:row>31</xdr:row>
                <xdr:rowOff>0</xdr:rowOff>
              </to>
            </anchor>
          </objectPr>
        </oleObject>
      </mc:Choice>
      <mc:Fallback>
        <oleObject progId="Equation.3" shapeId="7200" r:id="rId36"/>
      </mc:Fallback>
    </mc:AlternateContent>
    <mc:AlternateContent xmlns:mc="http://schemas.openxmlformats.org/markup-compatibility/2006">
      <mc:Choice Requires="x14">
        <oleObject progId="Equation.3" shapeId="7201" r:id="rId37">
          <objectPr defaultSize="0" autoPict="0" r:id="rId5">
            <anchor moveWithCells="1" sizeWithCells="1">
              <from>
                <xdr:col>10</xdr:col>
                <xdr:colOff>12700</xdr:colOff>
                <xdr:row>31</xdr:row>
                <xdr:rowOff>0</xdr:rowOff>
              </from>
              <to>
                <xdr:col>10</xdr:col>
                <xdr:colOff>412750</xdr:colOff>
                <xdr:row>31</xdr:row>
                <xdr:rowOff>0</xdr:rowOff>
              </to>
            </anchor>
          </objectPr>
        </oleObject>
      </mc:Choice>
      <mc:Fallback>
        <oleObject progId="Equation.3" shapeId="7201" r:id="rId37"/>
      </mc:Fallback>
    </mc:AlternateContent>
    <mc:AlternateContent xmlns:mc="http://schemas.openxmlformats.org/markup-compatibility/2006">
      <mc:Choice Requires="x14">
        <oleObject progId="Equation.3" shapeId="7202" r:id="rId38">
          <objectPr defaultSize="0" autoPict="0" r:id="rId5">
            <anchor moveWithCells="1" sizeWithCells="1">
              <from>
                <xdr:col>10</xdr:col>
                <xdr:colOff>12700</xdr:colOff>
                <xdr:row>31</xdr:row>
                <xdr:rowOff>0</xdr:rowOff>
              </from>
              <to>
                <xdr:col>10</xdr:col>
                <xdr:colOff>412750</xdr:colOff>
                <xdr:row>31</xdr:row>
                <xdr:rowOff>0</xdr:rowOff>
              </to>
            </anchor>
          </objectPr>
        </oleObject>
      </mc:Choice>
      <mc:Fallback>
        <oleObject progId="Equation.3" shapeId="7202" r:id="rId38"/>
      </mc:Fallback>
    </mc:AlternateContent>
    <mc:AlternateContent xmlns:mc="http://schemas.openxmlformats.org/markup-compatibility/2006">
      <mc:Choice Requires="x14">
        <oleObject progId="Equation.3" shapeId="7203" r:id="rId39">
          <objectPr defaultSize="0" autoPict="0" r:id="rId5">
            <anchor moveWithCells="1" sizeWithCells="1">
              <from>
                <xdr:col>10</xdr:col>
                <xdr:colOff>12700</xdr:colOff>
                <xdr:row>31</xdr:row>
                <xdr:rowOff>0</xdr:rowOff>
              </from>
              <to>
                <xdr:col>10</xdr:col>
                <xdr:colOff>412750</xdr:colOff>
                <xdr:row>31</xdr:row>
                <xdr:rowOff>0</xdr:rowOff>
              </to>
            </anchor>
          </objectPr>
        </oleObject>
      </mc:Choice>
      <mc:Fallback>
        <oleObject progId="Equation.3" shapeId="7203" r:id="rId39"/>
      </mc:Fallback>
    </mc:AlternateContent>
    <mc:AlternateContent xmlns:mc="http://schemas.openxmlformats.org/markup-compatibility/2006">
      <mc:Choice Requires="x14">
        <oleObject progId="Equation.3" shapeId="7204" r:id="rId40">
          <objectPr defaultSize="0" autoPict="0" r:id="rId5">
            <anchor moveWithCells="1" sizeWithCells="1">
              <from>
                <xdr:col>10</xdr:col>
                <xdr:colOff>12700</xdr:colOff>
                <xdr:row>31</xdr:row>
                <xdr:rowOff>0</xdr:rowOff>
              </from>
              <to>
                <xdr:col>10</xdr:col>
                <xdr:colOff>412750</xdr:colOff>
                <xdr:row>31</xdr:row>
                <xdr:rowOff>0</xdr:rowOff>
              </to>
            </anchor>
          </objectPr>
        </oleObject>
      </mc:Choice>
      <mc:Fallback>
        <oleObject progId="Equation.3" shapeId="7204" r:id="rId40"/>
      </mc:Fallback>
    </mc:AlternateContent>
    <mc:AlternateContent xmlns:mc="http://schemas.openxmlformats.org/markup-compatibility/2006">
      <mc:Choice Requires="x14">
        <oleObject progId="Equation.3" shapeId="7205" r:id="rId41">
          <objectPr defaultSize="0" autoPict="0" r:id="rId5">
            <anchor moveWithCells="1" sizeWithCells="1">
              <from>
                <xdr:col>10</xdr:col>
                <xdr:colOff>12700</xdr:colOff>
                <xdr:row>31</xdr:row>
                <xdr:rowOff>0</xdr:rowOff>
              </from>
              <to>
                <xdr:col>10</xdr:col>
                <xdr:colOff>412750</xdr:colOff>
                <xdr:row>31</xdr:row>
                <xdr:rowOff>0</xdr:rowOff>
              </to>
            </anchor>
          </objectPr>
        </oleObject>
      </mc:Choice>
      <mc:Fallback>
        <oleObject progId="Equation.3" shapeId="7205" r:id="rId41"/>
      </mc:Fallback>
    </mc:AlternateContent>
    <mc:AlternateContent xmlns:mc="http://schemas.openxmlformats.org/markup-compatibility/2006">
      <mc:Choice Requires="x14">
        <oleObject progId="Equation.3" shapeId="7206" r:id="rId42">
          <objectPr defaultSize="0" autoPict="0" r:id="rId5">
            <anchor moveWithCells="1" sizeWithCells="1">
              <from>
                <xdr:col>10</xdr:col>
                <xdr:colOff>12700</xdr:colOff>
                <xdr:row>31</xdr:row>
                <xdr:rowOff>0</xdr:rowOff>
              </from>
              <to>
                <xdr:col>10</xdr:col>
                <xdr:colOff>412750</xdr:colOff>
                <xdr:row>31</xdr:row>
                <xdr:rowOff>0</xdr:rowOff>
              </to>
            </anchor>
          </objectPr>
        </oleObject>
      </mc:Choice>
      <mc:Fallback>
        <oleObject progId="Equation.3" shapeId="7206" r:id="rId42"/>
      </mc:Fallback>
    </mc:AlternateContent>
    <mc:AlternateContent xmlns:mc="http://schemas.openxmlformats.org/markup-compatibility/2006">
      <mc:Choice Requires="x14">
        <oleObject progId="Equation.3" shapeId="7207" r:id="rId43">
          <objectPr defaultSize="0" autoPict="0" r:id="rId5">
            <anchor moveWithCells="1" sizeWithCells="1">
              <from>
                <xdr:col>10</xdr:col>
                <xdr:colOff>12700</xdr:colOff>
                <xdr:row>31</xdr:row>
                <xdr:rowOff>0</xdr:rowOff>
              </from>
              <to>
                <xdr:col>10</xdr:col>
                <xdr:colOff>412750</xdr:colOff>
                <xdr:row>31</xdr:row>
                <xdr:rowOff>0</xdr:rowOff>
              </to>
            </anchor>
          </objectPr>
        </oleObject>
      </mc:Choice>
      <mc:Fallback>
        <oleObject progId="Equation.3" shapeId="7207" r:id="rId43"/>
      </mc:Fallback>
    </mc:AlternateContent>
    <mc:AlternateContent xmlns:mc="http://schemas.openxmlformats.org/markup-compatibility/2006">
      <mc:Choice Requires="x14">
        <oleObject progId="Equation.3" shapeId="7208" r:id="rId44">
          <objectPr defaultSize="0" autoPict="0" r:id="rId5">
            <anchor moveWithCells="1" sizeWithCells="1">
              <from>
                <xdr:col>10</xdr:col>
                <xdr:colOff>12700</xdr:colOff>
                <xdr:row>31</xdr:row>
                <xdr:rowOff>0</xdr:rowOff>
              </from>
              <to>
                <xdr:col>10</xdr:col>
                <xdr:colOff>412750</xdr:colOff>
                <xdr:row>31</xdr:row>
                <xdr:rowOff>0</xdr:rowOff>
              </to>
            </anchor>
          </objectPr>
        </oleObject>
      </mc:Choice>
      <mc:Fallback>
        <oleObject progId="Equation.3" shapeId="7208" r:id="rId44"/>
      </mc:Fallback>
    </mc:AlternateContent>
    <mc:AlternateContent xmlns:mc="http://schemas.openxmlformats.org/markup-compatibility/2006">
      <mc:Choice Requires="x14">
        <oleObject progId="Equation.3" shapeId="7209" r:id="rId45">
          <objectPr defaultSize="0" autoPict="0" r:id="rId5">
            <anchor moveWithCells="1" sizeWithCells="1">
              <from>
                <xdr:col>10</xdr:col>
                <xdr:colOff>12700</xdr:colOff>
                <xdr:row>31</xdr:row>
                <xdr:rowOff>0</xdr:rowOff>
              </from>
              <to>
                <xdr:col>10</xdr:col>
                <xdr:colOff>412750</xdr:colOff>
                <xdr:row>31</xdr:row>
                <xdr:rowOff>0</xdr:rowOff>
              </to>
            </anchor>
          </objectPr>
        </oleObject>
      </mc:Choice>
      <mc:Fallback>
        <oleObject progId="Equation.3" shapeId="7209" r:id="rId45"/>
      </mc:Fallback>
    </mc:AlternateContent>
    <mc:AlternateContent xmlns:mc="http://schemas.openxmlformats.org/markup-compatibility/2006">
      <mc:Choice Requires="x14">
        <oleObject progId="Equation.3" shapeId="7210" r:id="rId46">
          <objectPr defaultSize="0" autoPict="0" r:id="rId5">
            <anchor moveWithCells="1" sizeWithCells="1">
              <from>
                <xdr:col>10</xdr:col>
                <xdr:colOff>38100</xdr:colOff>
                <xdr:row>31</xdr:row>
                <xdr:rowOff>0</xdr:rowOff>
              </from>
              <to>
                <xdr:col>10</xdr:col>
                <xdr:colOff>419100</xdr:colOff>
                <xdr:row>31</xdr:row>
                <xdr:rowOff>0</xdr:rowOff>
              </to>
            </anchor>
          </objectPr>
        </oleObject>
      </mc:Choice>
      <mc:Fallback>
        <oleObject progId="Equation.3" shapeId="7210" r:id="rId4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U97"/>
  <sheetViews>
    <sheetView showGridLines="0" view="pageBreakPreview" topLeftCell="C37" zoomScaleNormal="100" zoomScaleSheetLayoutView="100" workbookViewId="0">
      <selection activeCell="J41" sqref="J41"/>
    </sheetView>
  </sheetViews>
  <sheetFormatPr defaultColWidth="9.1796875" defaultRowHeight="15.5" x14ac:dyDescent="0.25"/>
  <cols>
    <col min="1" max="1" width="5.54296875" style="9" customWidth="1"/>
    <col min="2" max="2" width="8.54296875" style="9" customWidth="1"/>
    <col min="3" max="3" width="11.453125" style="9" customWidth="1"/>
    <col min="4" max="6" width="8.7265625" style="9" customWidth="1"/>
    <col min="7" max="7" width="11.54296875" style="9" customWidth="1"/>
    <col min="8" max="9" width="8.7265625" style="9" customWidth="1"/>
    <col min="10" max="10" width="8.453125" style="9" customWidth="1"/>
    <col min="11" max="11" width="8.1796875" style="9" customWidth="1"/>
    <col min="12" max="12" width="10.54296875" style="9" customWidth="1"/>
    <col min="13" max="13" width="11.26953125" style="9" customWidth="1"/>
    <col min="14" max="14" width="10.26953125" style="9" customWidth="1"/>
    <col min="15" max="15" width="6.7265625" style="9" customWidth="1"/>
    <col min="16" max="16" width="9.26953125" style="9" customWidth="1"/>
    <col min="17" max="17" width="8.7265625" style="9" customWidth="1"/>
    <col min="18" max="18" width="7.7265625" style="9" bestFit="1" customWidth="1"/>
    <col min="19" max="19" width="17.7265625" style="9" customWidth="1"/>
    <col min="20" max="20" width="6.54296875" style="9" customWidth="1"/>
    <col min="21" max="21" width="10.54296875" style="9" customWidth="1"/>
    <col min="22" max="16384" width="9.1796875" style="9"/>
  </cols>
  <sheetData>
    <row r="1" spans="1:17" x14ac:dyDescent="0.25">
      <c r="A1" s="885" t="s">
        <v>375</v>
      </c>
      <c r="B1" s="885"/>
      <c r="C1" s="885"/>
      <c r="D1" s="885"/>
      <c r="E1" s="885"/>
      <c r="F1" s="885"/>
      <c r="G1" s="885"/>
      <c r="H1" s="885"/>
      <c r="I1" s="885"/>
      <c r="J1" s="885"/>
      <c r="K1" s="885"/>
      <c r="L1" s="885"/>
      <c r="M1" s="885"/>
      <c r="N1" s="885"/>
      <c r="O1" s="885"/>
      <c r="P1" s="885"/>
      <c r="Q1" s="9" t="s">
        <v>82</v>
      </c>
    </row>
    <row r="2" spans="1:17" ht="16.5" customHeight="1" x14ac:dyDescent="0.25">
      <c r="A2" s="707"/>
      <c r="B2" s="707"/>
      <c r="C2" s="707"/>
      <c r="D2" s="707"/>
      <c r="E2" s="900" t="str">
        <f>IF(PENYELIA!J59&gt;=70,PENYELIA!B69,PENYELIA!B70)</f>
        <v>Nomor Sertifikat : 27 /</v>
      </c>
      <c r="F2" s="900"/>
      <c r="G2" s="900"/>
      <c r="H2" s="900"/>
      <c r="I2" s="901" t="s">
        <v>83</v>
      </c>
      <c r="J2" s="901"/>
      <c r="K2" s="901"/>
      <c r="L2" s="901"/>
      <c r="M2" s="707"/>
      <c r="N2" s="707"/>
      <c r="O2" s="707"/>
      <c r="P2" s="707"/>
    </row>
    <row r="3" spans="1:17" ht="12.75" customHeight="1" x14ac:dyDescent="0.25">
      <c r="A3" s="707"/>
      <c r="B3" s="707"/>
      <c r="C3" s="707"/>
      <c r="D3" s="707"/>
      <c r="E3" s="707"/>
      <c r="F3" s="707"/>
      <c r="G3" s="707"/>
      <c r="H3" s="707"/>
      <c r="I3" s="707"/>
      <c r="J3" s="707"/>
      <c r="K3" s="707"/>
      <c r="L3" s="707"/>
      <c r="M3" s="707"/>
      <c r="N3" s="707"/>
      <c r="O3" s="707"/>
      <c r="P3" s="707"/>
    </row>
    <row r="4" spans="1:17" ht="12.75" customHeight="1" x14ac:dyDescent="0.25">
      <c r="A4" s="707" t="s">
        <v>373</v>
      </c>
      <c r="B4" s="707"/>
      <c r="C4" s="707"/>
      <c r="D4" s="708" t="s">
        <v>7</v>
      </c>
      <c r="E4" s="709" t="s">
        <v>243</v>
      </c>
      <c r="F4" s="710"/>
      <c r="G4" s="710"/>
      <c r="H4" s="710"/>
      <c r="I4" s="707"/>
      <c r="J4" s="707"/>
      <c r="K4" s="707"/>
      <c r="L4" s="707"/>
      <c r="M4" s="707"/>
      <c r="N4" s="707"/>
      <c r="O4" s="707"/>
      <c r="P4" s="707"/>
    </row>
    <row r="5" spans="1:17" ht="12.75" customHeight="1" x14ac:dyDescent="0.25">
      <c r="A5" s="707" t="s">
        <v>8</v>
      </c>
      <c r="B5" s="707"/>
      <c r="C5" s="707"/>
      <c r="D5" s="708" t="s">
        <v>7</v>
      </c>
      <c r="E5" s="709" t="s">
        <v>243</v>
      </c>
      <c r="F5" s="710"/>
      <c r="G5" s="710"/>
      <c r="H5" s="710"/>
      <c r="I5" s="707"/>
      <c r="J5" s="707"/>
      <c r="K5" s="707"/>
      <c r="L5" s="707"/>
      <c r="M5" s="707"/>
      <c r="N5" s="707"/>
      <c r="O5" s="707"/>
      <c r="P5" s="707"/>
    </row>
    <row r="6" spans="1:17" x14ac:dyDescent="0.25">
      <c r="A6" s="707" t="s">
        <v>9</v>
      </c>
      <c r="B6" s="707"/>
      <c r="C6" s="707"/>
      <c r="D6" s="708" t="s">
        <v>7</v>
      </c>
      <c r="E6" s="711" t="s">
        <v>243</v>
      </c>
      <c r="F6" s="710"/>
      <c r="G6" s="710"/>
      <c r="H6" s="710"/>
      <c r="I6" s="707"/>
      <c r="J6" s="707"/>
      <c r="K6" s="707"/>
      <c r="L6" s="707"/>
      <c r="M6" s="707"/>
      <c r="N6" s="707"/>
      <c r="O6" s="707"/>
      <c r="P6" s="707"/>
    </row>
    <row r="7" spans="1:17" x14ac:dyDescent="0.25">
      <c r="A7" s="707" t="s">
        <v>10</v>
      </c>
      <c r="B7" s="707"/>
      <c r="C7" s="707"/>
      <c r="D7" s="708" t="s">
        <v>7</v>
      </c>
      <c r="E7" s="691">
        <v>1</v>
      </c>
      <c r="F7" s="710" t="s">
        <v>11</v>
      </c>
      <c r="G7" s="710"/>
      <c r="H7" s="710"/>
      <c r="I7" s="707"/>
      <c r="J7" s="707"/>
      <c r="K7" s="707"/>
      <c r="L7" s="707"/>
      <c r="M7" s="707"/>
      <c r="N7" s="707"/>
      <c r="O7" s="707"/>
      <c r="P7" s="707"/>
    </row>
    <row r="8" spans="1:17" x14ac:dyDescent="0.3">
      <c r="A8" s="712" t="s">
        <v>12</v>
      </c>
      <c r="B8" s="707"/>
      <c r="C8" s="707"/>
      <c r="D8" s="708" t="s">
        <v>7</v>
      </c>
      <c r="E8" s="906" t="s">
        <v>243</v>
      </c>
      <c r="F8" s="906"/>
      <c r="G8" s="713"/>
      <c r="H8" s="710"/>
      <c r="I8" s="707"/>
      <c r="J8" s="707"/>
      <c r="K8" s="707"/>
      <c r="L8" s="707"/>
      <c r="M8" s="707"/>
      <c r="N8" s="707"/>
      <c r="O8" s="707"/>
      <c r="P8" s="707"/>
    </row>
    <row r="9" spans="1:17" x14ac:dyDescent="0.25">
      <c r="A9" s="707" t="s">
        <v>13</v>
      </c>
      <c r="B9" s="707"/>
      <c r="C9" s="707"/>
      <c r="D9" s="708" t="s">
        <v>7</v>
      </c>
      <c r="E9" s="906" t="s">
        <v>243</v>
      </c>
      <c r="F9" s="906"/>
      <c r="G9" s="713"/>
      <c r="H9" s="710"/>
      <c r="I9" s="707"/>
      <c r="J9" s="707"/>
      <c r="K9" s="707"/>
      <c r="L9" s="707"/>
      <c r="M9" s="707"/>
      <c r="N9" s="707"/>
      <c r="O9" s="707"/>
      <c r="P9" s="707"/>
    </row>
    <row r="10" spans="1:17" x14ac:dyDescent="0.25">
      <c r="A10" s="707" t="s">
        <v>14</v>
      </c>
      <c r="B10" s="707"/>
      <c r="C10" s="707"/>
      <c r="D10" s="708" t="s">
        <v>7</v>
      </c>
      <c r="E10" s="709" t="s">
        <v>243</v>
      </c>
      <c r="F10" s="710"/>
      <c r="G10" s="710"/>
      <c r="H10" s="710"/>
      <c r="I10" s="707"/>
      <c r="J10" s="707"/>
      <c r="K10" s="707"/>
      <c r="L10" s="707"/>
      <c r="M10" s="707"/>
      <c r="N10" s="707"/>
      <c r="O10" s="707"/>
      <c r="P10" s="707"/>
    </row>
    <row r="11" spans="1:17" ht="14.25" customHeight="1" x14ac:dyDescent="0.25">
      <c r="A11" s="707" t="s">
        <v>15</v>
      </c>
      <c r="B11" s="707"/>
      <c r="C11" s="707"/>
      <c r="D11" s="708" t="s">
        <v>7</v>
      </c>
      <c r="E11" s="709" t="s">
        <v>243</v>
      </c>
      <c r="F11" s="710"/>
      <c r="G11" s="710"/>
      <c r="H11" s="710"/>
      <c r="I11" s="707"/>
      <c r="J11" s="707"/>
      <c r="K11" s="707"/>
      <c r="L11" s="707"/>
      <c r="M11" s="707"/>
      <c r="N11" s="707"/>
      <c r="O11" s="707"/>
      <c r="P11" s="707"/>
    </row>
    <row r="12" spans="1:17" ht="12.75" customHeight="1" x14ac:dyDescent="0.25">
      <c r="A12" s="707" t="s">
        <v>16</v>
      </c>
      <c r="B12" s="707"/>
      <c r="C12" s="707"/>
      <c r="D12" s="708" t="s">
        <v>7</v>
      </c>
      <c r="E12" s="707" t="s">
        <v>382</v>
      </c>
      <c r="F12" s="707"/>
      <c r="G12" s="707"/>
      <c r="H12" s="707"/>
      <c r="I12" s="707"/>
      <c r="J12" s="707"/>
      <c r="K12" s="707"/>
      <c r="L12" s="707"/>
      <c r="M12" s="707"/>
      <c r="N12" s="707"/>
      <c r="O12" s="707"/>
      <c r="P12" s="707"/>
    </row>
    <row r="13" spans="1:17" ht="10.5" customHeight="1" x14ac:dyDescent="0.25">
      <c r="A13" s="707"/>
      <c r="B13" s="707"/>
      <c r="C13" s="707"/>
      <c r="D13" s="707"/>
      <c r="E13" s="707"/>
      <c r="F13" s="707"/>
      <c r="G13" s="707"/>
      <c r="H13" s="707"/>
      <c r="I13" s="707"/>
      <c r="J13" s="707"/>
      <c r="K13" s="714"/>
      <c r="L13" s="707"/>
      <c r="M13" s="707"/>
      <c r="N13" s="707"/>
      <c r="O13" s="707"/>
      <c r="P13" s="707"/>
    </row>
    <row r="14" spans="1:17" x14ac:dyDescent="0.25">
      <c r="A14" s="715" t="s">
        <v>18</v>
      </c>
      <c r="B14" s="715" t="s">
        <v>19</v>
      </c>
      <c r="C14" s="715"/>
      <c r="D14" s="715"/>
      <c r="E14" s="707"/>
      <c r="F14" s="707"/>
      <c r="G14" s="707"/>
      <c r="H14" s="707"/>
      <c r="I14" s="715"/>
      <c r="J14" s="715"/>
      <c r="K14" s="715"/>
      <c r="L14" s="715"/>
      <c r="M14" s="707"/>
      <c r="N14" s="707"/>
      <c r="O14" s="707"/>
      <c r="P14" s="707"/>
    </row>
    <row r="15" spans="1:17" ht="15" customHeight="1" x14ac:dyDescent="0.25">
      <c r="A15" s="715"/>
      <c r="B15" s="715"/>
      <c r="C15" s="715"/>
      <c r="D15" s="715"/>
      <c r="E15" s="716" t="s">
        <v>84</v>
      </c>
      <c r="F15" s="716" t="s">
        <v>85</v>
      </c>
      <c r="G15" s="717" t="s">
        <v>86</v>
      </c>
      <c r="H15" s="716" t="s">
        <v>87</v>
      </c>
      <c r="I15" s="715"/>
      <c r="J15" s="715"/>
      <c r="K15" s="715"/>
      <c r="L15" s="715"/>
      <c r="M15" s="707"/>
      <c r="N15" s="707"/>
      <c r="O15" s="707"/>
      <c r="P15" s="707"/>
    </row>
    <row r="16" spans="1:17" ht="16.5" x14ac:dyDescent="0.25">
      <c r="A16" s="707"/>
      <c r="B16" s="707" t="str">
        <f>LK!B16</f>
        <v xml:space="preserve">1. Suhu </v>
      </c>
      <c r="C16" s="707"/>
      <c r="D16" s="708" t="s">
        <v>7</v>
      </c>
      <c r="E16" s="702">
        <v>18</v>
      </c>
      <c r="F16" s="702">
        <v>18.399999999999999</v>
      </c>
      <c r="G16" s="718">
        <f>'DB Thermohygro'!U377</f>
        <v>18.37815748917869</v>
      </c>
      <c r="H16" s="718">
        <f>'DB Thermohygro'!W377</f>
        <v>0.4</v>
      </c>
      <c r="I16" s="719" t="s">
        <v>386</v>
      </c>
      <c r="J16" s="707"/>
      <c r="K16" s="707"/>
      <c r="L16" s="707"/>
      <c r="M16" s="707"/>
      <c r="N16" s="707"/>
      <c r="O16" s="707"/>
      <c r="P16" s="707"/>
    </row>
    <row r="17" spans="1:21" x14ac:dyDescent="0.25">
      <c r="A17" s="707"/>
      <c r="B17" s="707" t="str">
        <f>LK!B17</f>
        <v>2. Kelembaban</v>
      </c>
      <c r="C17" s="707"/>
      <c r="D17" s="708" t="s">
        <v>7</v>
      </c>
      <c r="E17" s="702">
        <v>61</v>
      </c>
      <c r="F17" s="702">
        <v>63</v>
      </c>
      <c r="G17" s="718">
        <f>'DB Thermohygro'!U378</f>
        <v>60.097142857142856</v>
      </c>
      <c r="H17" s="718">
        <f>'DB Thermohygro'!W378</f>
        <v>2.2000000000000002</v>
      </c>
      <c r="I17" s="707" t="s">
        <v>24</v>
      </c>
      <c r="J17" s="707"/>
      <c r="K17" s="707"/>
      <c r="L17" s="707"/>
      <c r="M17" s="707"/>
      <c r="N17" s="707"/>
      <c r="O17" s="707"/>
      <c r="P17" s="707"/>
    </row>
    <row r="18" spans="1:21" x14ac:dyDescent="0.25">
      <c r="A18" s="707"/>
      <c r="B18" s="707" t="str">
        <f>LK!B18</f>
        <v>3. Tegangan Jala-jala</v>
      </c>
      <c r="C18" s="707"/>
      <c r="D18" s="708" t="s">
        <v>7</v>
      </c>
      <c r="E18" s="907">
        <v>220</v>
      </c>
      <c r="F18" s="907"/>
      <c r="G18" s="720">
        <f>'DB ESA'!N268</f>
        <v>219.84895701272265</v>
      </c>
      <c r="H18" s="718">
        <f>'DB ESA'!J269</f>
        <v>2.638187484152672</v>
      </c>
      <c r="I18" s="707" t="s">
        <v>26</v>
      </c>
      <c r="J18" s="707"/>
      <c r="K18" s="707"/>
      <c r="L18" s="707"/>
      <c r="M18" s="707"/>
      <c r="N18" s="707"/>
      <c r="O18" s="707"/>
      <c r="P18" s="707"/>
    </row>
    <row r="19" spans="1:21" ht="9.75" customHeight="1" x14ac:dyDescent="0.25">
      <c r="A19" s="707"/>
      <c r="B19" s="707"/>
      <c r="C19" s="707"/>
      <c r="D19" s="708"/>
      <c r="E19" s="707"/>
      <c r="F19" s="707"/>
      <c r="G19" s="707"/>
      <c r="H19" s="707"/>
      <c r="I19" s="707"/>
      <c r="J19" s="707"/>
      <c r="K19" s="707"/>
      <c r="L19" s="707"/>
      <c r="M19" s="707"/>
      <c r="N19" s="707"/>
      <c r="O19" s="707"/>
      <c r="P19" s="707"/>
    </row>
    <row r="20" spans="1:21" x14ac:dyDescent="0.25">
      <c r="A20" s="715" t="s">
        <v>27</v>
      </c>
      <c r="B20" s="715" t="s">
        <v>88</v>
      </c>
      <c r="C20" s="715"/>
      <c r="D20" s="715"/>
      <c r="E20" s="715"/>
      <c r="F20" s="715"/>
      <c r="G20" s="715"/>
      <c r="H20" s="715"/>
      <c r="I20" s="715"/>
      <c r="J20" s="707"/>
      <c r="K20" s="707"/>
      <c r="L20" s="707"/>
      <c r="M20" s="707"/>
      <c r="N20" s="707"/>
      <c r="O20" s="707"/>
      <c r="P20" s="707"/>
    </row>
    <row r="21" spans="1:21" x14ac:dyDescent="0.25">
      <c r="A21" s="707"/>
      <c r="B21" s="707" t="s">
        <v>29</v>
      </c>
      <c r="C21" s="707"/>
      <c r="D21" s="708" t="s">
        <v>7</v>
      </c>
      <c r="E21" s="690" t="s">
        <v>89</v>
      </c>
      <c r="F21" s="707"/>
      <c r="G21" s="707"/>
      <c r="H21" s="707"/>
      <c r="I21" s="707"/>
      <c r="J21" s="707"/>
      <c r="K21" s="707"/>
      <c r="L21" s="707"/>
      <c r="M21" s="707"/>
      <c r="N21" s="707"/>
      <c r="O21" s="707"/>
      <c r="P21" s="707"/>
    </row>
    <row r="22" spans="1:21" x14ac:dyDescent="0.25">
      <c r="A22" s="707"/>
      <c r="B22" s="707" t="s">
        <v>31</v>
      </c>
      <c r="C22" s="707"/>
      <c r="D22" s="708" t="s">
        <v>7</v>
      </c>
      <c r="E22" s="690" t="s">
        <v>89</v>
      </c>
      <c r="F22" s="707"/>
      <c r="G22" s="707"/>
      <c r="H22" s="707"/>
      <c r="I22" s="707"/>
      <c r="J22" s="707"/>
      <c r="K22" s="707"/>
      <c r="L22" s="707"/>
      <c r="M22" s="707"/>
      <c r="N22" s="707"/>
      <c r="O22" s="707"/>
      <c r="P22" s="707"/>
    </row>
    <row r="23" spans="1:21" ht="3" customHeight="1" x14ac:dyDescent="0.25">
      <c r="A23" s="707"/>
      <c r="B23" s="707"/>
      <c r="C23" s="707"/>
      <c r="D23" s="707"/>
      <c r="E23" s="707"/>
      <c r="F23" s="707"/>
      <c r="G23" s="707"/>
      <c r="H23" s="707"/>
      <c r="I23" s="707"/>
      <c r="J23" s="707"/>
      <c r="K23" s="707"/>
      <c r="L23" s="707"/>
      <c r="M23" s="707"/>
      <c r="N23" s="707"/>
      <c r="O23" s="707"/>
      <c r="P23" s="707"/>
    </row>
    <row r="24" spans="1:21" x14ac:dyDescent="0.25">
      <c r="A24" s="715" t="s">
        <v>32</v>
      </c>
      <c r="B24" s="715" t="s">
        <v>90</v>
      </c>
      <c r="C24" s="707"/>
      <c r="D24" s="707"/>
      <c r="E24" s="707"/>
      <c r="F24" s="707"/>
      <c r="G24" s="707"/>
      <c r="H24" s="707"/>
      <c r="I24" s="707"/>
      <c r="J24" s="707"/>
      <c r="K24" s="707"/>
      <c r="L24" s="707"/>
      <c r="M24" s="707"/>
      <c r="N24" s="707"/>
      <c r="O24" s="707"/>
      <c r="P24" s="707"/>
    </row>
    <row r="25" spans="1:21" ht="15.75" customHeight="1" x14ac:dyDescent="0.25">
      <c r="A25" s="707"/>
      <c r="B25" s="889" t="s">
        <v>0</v>
      </c>
      <c r="C25" s="891" t="s">
        <v>34</v>
      </c>
      <c r="D25" s="892"/>
      <c r="E25" s="892"/>
      <c r="F25" s="892"/>
      <c r="G25" s="892"/>
      <c r="H25" s="893"/>
      <c r="I25" s="891" t="s">
        <v>35</v>
      </c>
      <c r="J25" s="893"/>
      <c r="K25" s="902" t="s">
        <v>91</v>
      </c>
      <c r="L25" s="903"/>
      <c r="M25" s="707"/>
      <c r="N25" s="707"/>
      <c r="O25" s="707"/>
      <c r="P25" s="707"/>
    </row>
    <row r="26" spans="1:21" ht="12.75" customHeight="1" x14ac:dyDescent="0.25">
      <c r="A26" s="707"/>
      <c r="B26" s="890"/>
      <c r="C26" s="894"/>
      <c r="D26" s="895"/>
      <c r="E26" s="895"/>
      <c r="F26" s="895"/>
      <c r="G26" s="895"/>
      <c r="H26" s="896"/>
      <c r="I26" s="894"/>
      <c r="J26" s="896"/>
      <c r="K26" s="904"/>
      <c r="L26" s="905"/>
      <c r="M26" s="707"/>
      <c r="N26" s="707"/>
      <c r="O26" s="707"/>
      <c r="P26" s="707"/>
      <c r="Q26" s="707"/>
      <c r="R26" s="884" t="s">
        <v>92</v>
      </c>
      <c r="S26" s="884"/>
      <c r="T26" s="875" t="s">
        <v>44</v>
      </c>
      <c r="U26" s="875" t="s">
        <v>49</v>
      </c>
    </row>
    <row r="27" spans="1:21" ht="15.75" customHeight="1" x14ac:dyDescent="0.25">
      <c r="A27" s="707"/>
      <c r="B27" s="721">
        <v>1</v>
      </c>
      <c r="C27" s="722" t="str">
        <f>LK!C27</f>
        <v xml:space="preserve">Resistansi isolasi </v>
      </c>
      <c r="D27" s="723"/>
      <c r="E27" s="723"/>
      <c r="F27" s="723"/>
      <c r="G27" s="723"/>
      <c r="H27" s="723"/>
      <c r="I27" s="688" t="s">
        <v>243</v>
      </c>
      <c r="J27" s="724" t="s">
        <v>93</v>
      </c>
      <c r="K27" s="725">
        <v>2</v>
      </c>
      <c r="L27" s="726" t="s">
        <v>93</v>
      </c>
      <c r="M27" s="707"/>
      <c r="N27" s="707"/>
      <c r="O27" s="707"/>
      <c r="P27" s="707"/>
      <c r="Q27" s="707"/>
      <c r="R27" s="884"/>
      <c r="S27" s="884"/>
      <c r="T27" s="875"/>
      <c r="U27" s="875"/>
    </row>
    <row r="28" spans="1:21" ht="15.75" customHeight="1" x14ac:dyDescent="0.25">
      <c r="A28" s="707"/>
      <c r="B28" s="721">
        <v>2</v>
      </c>
      <c r="C28" s="897" t="s">
        <v>94</v>
      </c>
      <c r="D28" s="898"/>
      <c r="E28" s="898"/>
      <c r="F28" s="898"/>
      <c r="G28" s="898"/>
      <c r="H28" s="899"/>
      <c r="I28" s="688" t="s">
        <v>243</v>
      </c>
      <c r="J28" s="724" t="s">
        <v>95</v>
      </c>
      <c r="K28" s="727">
        <f>IF(C28=PENYELIA!W26,PENYELIA!AC26,PENYELIA!AC27)</f>
        <v>0.2</v>
      </c>
      <c r="L28" s="726" t="s">
        <v>95</v>
      </c>
      <c r="M28" s="707"/>
      <c r="N28" s="707"/>
      <c r="O28" s="707"/>
      <c r="P28" s="707"/>
      <c r="Q28" s="707"/>
      <c r="R28" s="728" t="s">
        <v>96</v>
      </c>
      <c r="S28" s="729" t="s">
        <v>97</v>
      </c>
      <c r="T28" s="687">
        <v>1</v>
      </c>
      <c r="U28" s="730">
        <v>100</v>
      </c>
    </row>
    <row r="29" spans="1:21" ht="15.75" customHeight="1" x14ac:dyDescent="0.25">
      <c r="A29" s="707"/>
      <c r="B29" s="721">
        <v>3</v>
      </c>
      <c r="C29" s="886" t="s">
        <v>98</v>
      </c>
      <c r="D29" s="887"/>
      <c r="E29" s="887"/>
      <c r="F29" s="887"/>
      <c r="G29" s="887"/>
      <c r="H29" s="888"/>
      <c r="I29" s="689" t="s">
        <v>243</v>
      </c>
      <c r="J29" s="724" t="s">
        <v>44</v>
      </c>
      <c r="K29" s="731">
        <f>IF(C29=PENYELIA!W28,PENYELIA!AC28,PENYELIA!AC29)</f>
        <v>500</v>
      </c>
      <c r="L29" s="726" t="s">
        <v>44</v>
      </c>
      <c r="M29" s="707"/>
      <c r="N29" s="707"/>
      <c r="O29" s="707"/>
      <c r="P29" s="707"/>
    </row>
    <row r="30" spans="1:21" x14ac:dyDescent="0.25">
      <c r="A30" s="707"/>
      <c r="B30" s="721">
        <v>4</v>
      </c>
      <c r="C30" s="732" t="str">
        <f>LK!C30</f>
        <v>Arus bocor peralatan yang diaplikasikan</v>
      </c>
      <c r="D30" s="733"/>
      <c r="E30" s="733"/>
      <c r="F30" s="733"/>
      <c r="G30" s="733"/>
      <c r="H30" s="724"/>
      <c r="I30" s="689" t="s">
        <v>243</v>
      </c>
      <c r="J30" s="724" t="s">
        <v>44</v>
      </c>
      <c r="K30" s="734">
        <f>LK!K30</f>
        <v>50</v>
      </c>
      <c r="L30" s="726" t="s">
        <v>44</v>
      </c>
      <c r="M30" s="707"/>
      <c r="N30" s="707"/>
      <c r="O30" s="707"/>
      <c r="P30" s="707"/>
    </row>
    <row r="31" spans="1:21" x14ac:dyDescent="0.25">
      <c r="A31" s="707"/>
      <c r="B31" s="708"/>
      <c r="I31" s="707"/>
      <c r="J31" s="707"/>
      <c r="K31" s="707"/>
      <c r="L31" s="707"/>
      <c r="M31" s="707"/>
      <c r="N31" s="707"/>
      <c r="O31" s="707"/>
      <c r="P31" s="707"/>
    </row>
    <row r="32" spans="1:21" x14ac:dyDescent="0.25">
      <c r="A32" s="715" t="s">
        <v>47</v>
      </c>
      <c r="B32" s="715" t="s">
        <v>99</v>
      </c>
      <c r="C32" s="735"/>
      <c r="D32" s="736"/>
      <c r="E32" s="736"/>
      <c r="F32" s="736"/>
      <c r="G32" s="736"/>
      <c r="H32" s="737"/>
      <c r="I32" s="738"/>
      <c r="J32" s="737"/>
      <c r="K32" s="739"/>
      <c r="L32" s="737"/>
      <c r="M32" s="707"/>
      <c r="N32" s="740"/>
      <c r="O32" s="736"/>
      <c r="P32" s="707"/>
    </row>
    <row r="33" spans="1:16" ht="13" customHeight="1" x14ac:dyDescent="0.25">
      <c r="A33" s="741"/>
      <c r="B33" s="742"/>
      <c r="C33" s="736"/>
      <c r="D33" s="736"/>
      <c r="E33" s="736"/>
      <c r="F33" s="736"/>
      <c r="G33" s="736"/>
      <c r="H33" s="736"/>
      <c r="I33" s="736"/>
      <c r="J33" s="743"/>
      <c r="K33" s="744"/>
      <c r="L33" s="745"/>
      <c r="M33" s="744" t="s">
        <v>103</v>
      </c>
      <c r="N33" s="746"/>
      <c r="O33" s="746"/>
      <c r="P33" s="707"/>
    </row>
    <row r="34" spans="1:16" ht="13" customHeight="1" x14ac:dyDescent="0.25">
      <c r="A34" s="715"/>
      <c r="B34" s="715" t="str">
        <f>LK!B33</f>
        <v>A. Kalibrasi Akurasi ECG</v>
      </c>
      <c r="C34" s="735"/>
      <c r="D34" s="736"/>
      <c r="E34" s="736"/>
      <c r="F34" s="736"/>
      <c r="G34" s="736"/>
      <c r="H34" s="737"/>
      <c r="I34" s="738"/>
      <c r="J34" s="737"/>
      <c r="K34" s="739"/>
      <c r="L34" s="737"/>
      <c r="M34" s="707"/>
      <c r="N34" s="747"/>
      <c r="O34" s="746"/>
      <c r="P34" s="707"/>
    </row>
    <row r="35" spans="1:16" ht="13" customHeight="1" x14ac:dyDescent="0.25">
      <c r="A35" s="707"/>
      <c r="B35" s="878" t="s">
        <v>56</v>
      </c>
      <c r="C35" s="878" t="s">
        <v>34</v>
      </c>
      <c r="D35" s="878" t="s">
        <v>104</v>
      </c>
      <c r="E35" s="748"/>
      <c r="F35" s="912" t="s">
        <v>105</v>
      </c>
      <c r="G35" s="912"/>
      <c r="H35" s="912"/>
      <c r="I35" s="912"/>
      <c r="J35" s="749"/>
      <c r="K35" s="878" t="s">
        <v>106</v>
      </c>
      <c r="L35" s="889" t="s">
        <v>100</v>
      </c>
      <c r="M35" s="878" t="s">
        <v>107</v>
      </c>
      <c r="N35" s="878" t="s">
        <v>49</v>
      </c>
      <c r="O35" s="880" t="s">
        <v>102</v>
      </c>
      <c r="P35" s="881"/>
    </row>
    <row r="36" spans="1:16" ht="30" customHeight="1" x14ac:dyDescent="0.25">
      <c r="A36" s="707"/>
      <c r="B36" s="879"/>
      <c r="C36" s="879"/>
      <c r="D36" s="879"/>
      <c r="E36" s="750" t="s">
        <v>50</v>
      </c>
      <c r="F36" s="750" t="s">
        <v>51</v>
      </c>
      <c r="G36" s="750" t="s">
        <v>52</v>
      </c>
      <c r="H36" s="750" t="s">
        <v>53</v>
      </c>
      <c r="I36" s="750" t="s">
        <v>54</v>
      </c>
      <c r="J36" s="750" t="s">
        <v>55</v>
      </c>
      <c r="K36" s="879"/>
      <c r="L36" s="890"/>
      <c r="M36" s="879"/>
      <c r="N36" s="879"/>
      <c r="O36" s="882"/>
      <c r="P36" s="883"/>
    </row>
    <row r="37" spans="1:16" x14ac:dyDescent="0.25">
      <c r="A37" s="707"/>
      <c r="B37" s="751">
        <v>1</v>
      </c>
      <c r="C37" s="914" t="s">
        <v>60</v>
      </c>
      <c r="D37" s="752">
        <v>30</v>
      </c>
      <c r="E37" s="692">
        <v>30</v>
      </c>
      <c r="F37" s="692">
        <v>30</v>
      </c>
      <c r="G37" s="692">
        <v>30</v>
      </c>
      <c r="H37" s="692">
        <v>30</v>
      </c>
      <c r="I37" s="692">
        <v>30</v>
      </c>
      <c r="J37" s="692">
        <v>30</v>
      </c>
      <c r="K37" s="718">
        <f>'DB ECG'!B156</f>
        <v>30</v>
      </c>
      <c r="L37" s="753">
        <f>K37-D37</f>
        <v>0</v>
      </c>
      <c r="M37" s="718">
        <f>'DB ECG'!G156</f>
        <v>-3.3333333332071412E-5</v>
      </c>
      <c r="N37" s="876" t="s">
        <v>108</v>
      </c>
      <c r="O37" s="877">
        <f>UB!K13</f>
        <v>1.9336673739151329</v>
      </c>
      <c r="P37" s="877"/>
    </row>
    <row r="38" spans="1:16" x14ac:dyDescent="0.25">
      <c r="A38" s="707"/>
      <c r="B38" s="751">
        <v>2</v>
      </c>
      <c r="C38" s="914"/>
      <c r="D38" s="752">
        <v>60</v>
      </c>
      <c r="E38" s="701">
        <v>60</v>
      </c>
      <c r="F38" s="701">
        <v>60</v>
      </c>
      <c r="G38" s="701">
        <v>60</v>
      </c>
      <c r="H38" s="701">
        <v>60</v>
      </c>
      <c r="I38" s="701">
        <v>60</v>
      </c>
      <c r="J38" s="701">
        <v>60</v>
      </c>
      <c r="K38" s="718">
        <f>'DB ECG'!B157</f>
        <v>60</v>
      </c>
      <c r="L38" s="753">
        <f>K38-D38</f>
        <v>0</v>
      </c>
      <c r="M38" s="718">
        <f>'DB ECG'!G157</f>
        <v>1.6666666666666667E-5</v>
      </c>
      <c r="N38" s="876"/>
      <c r="O38" s="877">
        <f>UB!K25</f>
        <v>0.96816616066907246</v>
      </c>
      <c r="P38" s="877"/>
    </row>
    <row r="39" spans="1:16" x14ac:dyDescent="0.25">
      <c r="A39" s="707"/>
      <c r="B39" s="751">
        <v>3</v>
      </c>
      <c r="C39" s="914"/>
      <c r="D39" s="752">
        <v>120</v>
      </c>
      <c r="E39" s="701">
        <v>120</v>
      </c>
      <c r="F39" s="701">
        <v>120</v>
      </c>
      <c r="G39" s="701">
        <v>120</v>
      </c>
      <c r="H39" s="701">
        <v>120</v>
      </c>
      <c r="I39" s="701">
        <v>120</v>
      </c>
      <c r="J39" s="701">
        <v>120</v>
      </c>
      <c r="K39" s="718">
        <f>'DB ECG'!B158</f>
        <v>120</v>
      </c>
      <c r="L39" s="753">
        <f>K39-D39</f>
        <v>0</v>
      </c>
      <c r="M39" s="718">
        <f>'DB ECG'!G158</f>
        <v>8.3333333333333337E-6</v>
      </c>
      <c r="N39" s="876"/>
      <c r="O39" s="877">
        <f>UB!K37</f>
        <v>0.48673609787830635</v>
      </c>
      <c r="P39" s="877"/>
    </row>
    <row r="40" spans="1:16" x14ac:dyDescent="0.25">
      <c r="A40" s="707"/>
      <c r="B40" s="751">
        <v>4</v>
      </c>
      <c r="C40" s="914"/>
      <c r="D40" s="752">
        <v>180</v>
      </c>
      <c r="E40" s="701">
        <v>180</v>
      </c>
      <c r="F40" s="701">
        <v>180</v>
      </c>
      <c r="G40" s="701">
        <v>180</v>
      </c>
      <c r="H40" s="701">
        <v>180</v>
      </c>
      <c r="I40" s="701">
        <v>180</v>
      </c>
      <c r="J40" s="701">
        <v>180</v>
      </c>
      <c r="K40" s="718">
        <f>'DB ECG'!B159</f>
        <v>180</v>
      </c>
      <c r="L40" s="753">
        <f>K40-D40</f>
        <v>0</v>
      </c>
      <c r="M40" s="718">
        <f>'DB ECG'!G159</f>
        <v>5.5555555555555558E-6</v>
      </c>
      <c r="N40" s="876"/>
      <c r="O40" s="877">
        <f>UB!K49</f>
        <v>0.32742418118364769</v>
      </c>
      <c r="P40" s="877"/>
    </row>
    <row r="41" spans="1:16" x14ac:dyDescent="0.25">
      <c r="A41" s="707"/>
      <c r="B41" s="751">
        <v>5</v>
      </c>
      <c r="C41" s="914"/>
      <c r="D41" s="752">
        <v>240</v>
      </c>
      <c r="E41" s="701">
        <v>240</v>
      </c>
      <c r="F41" s="701">
        <v>240</v>
      </c>
      <c r="G41" s="701">
        <v>240</v>
      </c>
      <c r="H41" s="701">
        <v>240</v>
      </c>
      <c r="I41" s="701">
        <v>240</v>
      </c>
      <c r="J41" s="701">
        <v>240</v>
      </c>
      <c r="K41" s="718">
        <f>'DB ECG'!B160</f>
        <v>240</v>
      </c>
      <c r="L41" s="753">
        <f>K41-D41</f>
        <v>0</v>
      </c>
      <c r="M41" s="718">
        <f>'DB ECG'!G160</f>
        <v>7.1138211173623256E-7</v>
      </c>
      <c r="N41" s="876"/>
      <c r="O41" s="877">
        <f>UB!K62</f>
        <v>0.24862878942257066</v>
      </c>
      <c r="P41" s="877"/>
    </row>
    <row r="42" spans="1:16" ht="13.5" customHeight="1" x14ac:dyDescent="0.25">
      <c r="A42" s="741"/>
      <c r="B42" s="741"/>
      <c r="C42" s="735"/>
      <c r="D42" s="736"/>
      <c r="E42" s="736"/>
      <c r="F42" s="736"/>
      <c r="G42" s="736"/>
      <c r="H42" s="736"/>
      <c r="I42" s="736"/>
      <c r="J42" s="737"/>
      <c r="K42" s="739"/>
      <c r="L42" s="737"/>
      <c r="M42" s="707"/>
      <c r="N42" s="740"/>
      <c r="O42" s="736"/>
      <c r="P42" s="707"/>
    </row>
    <row r="43" spans="1:16" x14ac:dyDescent="0.25">
      <c r="A43" s="754" t="s">
        <v>62</v>
      </c>
      <c r="B43" s="754" t="s">
        <v>63</v>
      </c>
      <c r="C43" s="741"/>
      <c r="D43" s="741"/>
      <c r="E43" s="741"/>
      <c r="F43" s="741"/>
      <c r="G43" s="741"/>
      <c r="H43" s="741"/>
      <c r="I43" s="708"/>
      <c r="J43" s="707"/>
      <c r="K43" s="707"/>
      <c r="L43" s="736"/>
      <c r="M43" s="736"/>
      <c r="N43" s="736"/>
      <c r="O43" s="736"/>
      <c r="P43" s="707"/>
    </row>
    <row r="44" spans="1:16" x14ac:dyDescent="0.25">
      <c r="A44" s="714"/>
      <c r="B44" s="707" t="s">
        <v>109</v>
      </c>
      <c r="C44" s="741"/>
      <c r="D44" s="741"/>
      <c r="E44" s="741"/>
      <c r="F44" s="741"/>
      <c r="G44" s="741"/>
      <c r="H44" s="741"/>
      <c r="I44" s="708"/>
      <c r="J44" s="707"/>
      <c r="K44" s="707"/>
      <c r="L44" s="736"/>
      <c r="M44" s="736"/>
      <c r="N44" s="736"/>
      <c r="O44" s="736"/>
      <c r="P44" s="707"/>
    </row>
    <row r="45" spans="1:16" x14ac:dyDescent="0.25">
      <c r="A45" s="714"/>
      <c r="B45" s="755" t="str">
        <f>'DB ESA'!N311</f>
        <v>Hasil pengukuran keselamatan listrik tertelusur ke Satuan Internasional ( SI ) melalui PT. Kaliman (LK-032-IDN)</v>
      </c>
      <c r="C45" s="741"/>
      <c r="D45" s="741"/>
      <c r="E45" s="741"/>
      <c r="F45" s="741"/>
      <c r="G45" s="741"/>
      <c r="H45" s="741"/>
      <c r="I45" s="708"/>
      <c r="J45" s="707"/>
      <c r="K45" s="707"/>
      <c r="L45" s="736"/>
      <c r="M45" s="736"/>
      <c r="N45" s="736"/>
      <c r="O45" s="736"/>
      <c r="P45" s="707"/>
    </row>
    <row r="46" spans="1:16" x14ac:dyDescent="0.25">
      <c r="A46" s="714"/>
      <c r="B46" s="707" t="str">
        <f>'DB ECG'!P175</f>
        <v>Hasil kalibrasi ECG tertelusur ke Satuan Internasional melalui CALTEK PTE LTD (LA-2003-0292-C)</v>
      </c>
      <c r="C46" s="741"/>
      <c r="D46" s="741"/>
      <c r="E46" s="741"/>
      <c r="F46" s="741"/>
      <c r="G46" s="741"/>
      <c r="H46" s="741"/>
      <c r="I46" s="708"/>
      <c r="J46" s="707"/>
      <c r="K46" s="707"/>
      <c r="L46" s="736"/>
      <c r="M46" s="736"/>
      <c r="N46" s="736"/>
      <c r="O46" s="736"/>
      <c r="P46" s="707"/>
    </row>
    <row r="47" spans="1:16" x14ac:dyDescent="0.25">
      <c r="A47" s="714"/>
      <c r="B47" s="707" t="str">
        <f>PENYELIA!W16</f>
        <v>Tidak dilakukan pengukuran kelistrikan dikarenakan alat tidak boleh di matikan</v>
      </c>
      <c r="C47" s="707"/>
      <c r="D47" s="707"/>
      <c r="E47" s="707"/>
      <c r="F47" s="707"/>
      <c r="G47" s="707"/>
      <c r="H47" s="707"/>
      <c r="I47" s="707"/>
      <c r="J47" s="707"/>
      <c r="K47" s="707"/>
      <c r="L47" s="736"/>
      <c r="M47" s="736"/>
      <c r="N47" s="736"/>
      <c r="O47" s="736"/>
      <c r="P47" s="707"/>
    </row>
    <row r="48" spans="1:16" x14ac:dyDescent="0.25">
      <c r="A48" s="714"/>
      <c r="N48" s="736"/>
      <c r="O48" s="736"/>
      <c r="P48" s="707"/>
    </row>
    <row r="49" spans="1:16" x14ac:dyDescent="0.25">
      <c r="A49" s="715" t="s">
        <v>64</v>
      </c>
      <c r="B49" s="715" t="s">
        <v>110</v>
      </c>
      <c r="C49" s="741"/>
      <c r="D49" s="741"/>
      <c r="E49" s="741"/>
      <c r="F49" s="741"/>
      <c r="G49" s="741"/>
      <c r="H49" s="741"/>
      <c r="I49" s="708"/>
      <c r="J49" s="707"/>
      <c r="K49" s="707"/>
      <c r="L49" s="736"/>
      <c r="M49" s="736"/>
      <c r="N49" s="736"/>
      <c r="O49" s="736"/>
      <c r="P49" s="707"/>
    </row>
    <row r="50" spans="1:16" x14ac:dyDescent="0.25">
      <c r="A50" s="707"/>
      <c r="B50" s="913" t="s">
        <v>361</v>
      </c>
      <c r="C50" s="913"/>
      <c r="D50" s="913"/>
      <c r="E50" s="913"/>
      <c r="F50" s="913"/>
      <c r="G50" s="913"/>
      <c r="H50" s="913"/>
      <c r="I50" s="913"/>
      <c r="J50" s="913"/>
      <c r="K50" s="913"/>
      <c r="L50" s="913"/>
      <c r="M50" s="913"/>
      <c r="N50" s="707"/>
      <c r="O50" s="707"/>
      <c r="P50" s="707"/>
    </row>
    <row r="51" spans="1:16" x14ac:dyDescent="0.25">
      <c r="A51" s="707"/>
      <c r="B51" s="913" t="s">
        <v>112</v>
      </c>
      <c r="C51" s="913"/>
      <c r="D51" s="913"/>
      <c r="E51" s="913"/>
      <c r="F51" s="913"/>
      <c r="G51" s="913"/>
      <c r="H51" s="913"/>
      <c r="I51" s="913"/>
      <c r="J51" s="913"/>
      <c r="K51" s="913"/>
      <c r="L51" s="913"/>
      <c r="M51" s="913"/>
      <c r="N51" s="707"/>
      <c r="O51" s="707"/>
      <c r="P51" s="707"/>
    </row>
    <row r="52" spans="1:16" x14ac:dyDescent="0.25">
      <c r="A52" s="707"/>
      <c r="B52" s="913" t="s">
        <v>322</v>
      </c>
      <c r="C52" s="913"/>
      <c r="D52" s="913"/>
      <c r="E52" s="913"/>
      <c r="F52" s="913"/>
      <c r="G52" s="913"/>
      <c r="H52" s="913"/>
      <c r="I52" s="913"/>
      <c r="J52" s="913"/>
      <c r="K52" s="913"/>
      <c r="L52" s="913"/>
      <c r="M52" s="913"/>
      <c r="N52" s="707"/>
      <c r="O52" s="707"/>
      <c r="P52" s="707"/>
    </row>
    <row r="53" spans="1:16" ht="6.75" customHeight="1" x14ac:dyDescent="0.25">
      <c r="A53" s="707"/>
      <c r="B53" s="707"/>
      <c r="C53" s="707"/>
      <c r="D53" s="707"/>
      <c r="E53" s="707"/>
      <c r="F53" s="707"/>
      <c r="G53" s="707"/>
      <c r="H53" s="707"/>
      <c r="I53" s="707"/>
      <c r="J53" s="707"/>
      <c r="K53" s="707"/>
      <c r="L53" s="707"/>
      <c r="M53" s="707"/>
      <c r="N53" s="707"/>
      <c r="O53" s="707"/>
      <c r="P53" s="707"/>
    </row>
    <row r="54" spans="1:16" x14ac:dyDescent="0.25">
      <c r="A54" s="715" t="s">
        <v>77</v>
      </c>
      <c r="B54" s="715" t="s">
        <v>78</v>
      </c>
      <c r="C54" s="707"/>
      <c r="D54" s="707"/>
      <c r="E54" s="707"/>
      <c r="F54" s="707"/>
      <c r="G54" s="707"/>
      <c r="H54" s="707"/>
      <c r="I54" s="707"/>
      <c r="J54" s="707"/>
      <c r="K54" s="707"/>
      <c r="L54" s="707"/>
      <c r="M54" s="707"/>
      <c r="N54" s="707"/>
      <c r="O54" s="707"/>
      <c r="P54" s="707"/>
    </row>
    <row r="55" spans="1:16" x14ac:dyDescent="0.25">
      <c r="A55" s="715"/>
      <c r="B55" s="908" t="str">
        <f>PENYELIA!B76</f>
        <v>Alat yang dikalibrasi dalam batas toleransi dan dinyatakan LAIK PAKAI</v>
      </c>
      <c r="C55" s="908"/>
      <c r="D55" s="908"/>
      <c r="E55" s="908"/>
      <c r="F55" s="908"/>
      <c r="G55" s="908"/>
      <c r="H55" s="908"/>
      <c r="I55" s="908"/>
      <c r="J55" s="908"/>
      <c r="K55" s="908"/>
      <c r="L55" s="908"/>
      <c r="M55" s="908"/>
      <c r="N55" s="908"/>
      <c r="O55" s="908"/>
      <c r="P55" s="707"/>
    </row>
    <row r="56" spans="1:16" ht="13.5" customHeight="1" x14ac:dyDescent="0.25">
      <c r="A56" s="715"/>
      <c r="B56" s="908"/>
      <c r="C56" s="908"/>
      <c r="D56" s="908"/>
      <c r="E56" s="908"/>
      <c r="F56" s="908"/>
      <c r="G56" s="908"/>
      <c r="H56" s="908"/>
      <c r="I56" s="908"/>
      <c r="J56" s="908"/>
      <c r="K56" s="908"/>
      <c r="L56" s="908"/>
      <c r="M56" s="908"/>
      <c r="N56" s="908"/>
      <c r="O56" s="908"/>
      <c r="P56" s="707"/>
    </row>
    <row r="57" spans="1:16" x14ac:dyDescent="0.25">
      <c r="A57" s="715" t="s">
        <v>80</v>
      </c>
      <c r="B57" s="715" t="s">
        <v>81</v>
      </c>
      <c r="C57" s="707"/>
      <c r="D57" s="707"/>
      <c r="E57" s="707"/>
      <c r="F57" s="707"/>
      <c r="G57" s="707"/>
      <c r="H57" s="707"/>
      <c r="I57" s="707"/>
      <c r="J57" s="707"/>
      <c r="K57" s="707"/>
      <c r="L57" s="707"/>
      <c r="M57" s="707"/>
      <c r="N57" s="707"/>
      <c r="O57" s="707"/>
      <c r="P57" s="707"/>
    </row>
    <row r="58" spans="1:16" x14ac:dyDescent="0.25">
      <c r="A58" s="707"/>
      <c r="B58" s="901" t="s">
        <v>138</v>
      </c>
      <c r="C58" s="901"/>
      <c r="D58" s="901"/>
      <c r="E58" s="707"/>
      <c r="F58" s="707"/>
      <c r="G58" s="707"/>
      <c r="H58" s="707"/>
      <c r="I58" s="707"/>
      <c r="J58" s="707"/>
      <c r="K58" s="707"/>
      <c r="L58" s="707"/>
      <c r="M58" s="707"/>
      <c r="N58" s="707"/>
      <c r="O58" s="707"/>
      <c r="P58" s="707"/>
    </row>
    <row r="59" spans="1:16" x14ac:dyDescent="0.25">
      <c r="A59" s="707"/>
      <c r="B59" s="707"/>
      <c r="C59" s="707"/>
      <c r="D59" s="707"/>
      <c r="E59" s="707"/>
      <c r="F59" s="707"/>
      <c r="G59" s="707"/>
      <c r="H59" s="707"/>
      <c r="I59" s="707"/>
      <c r="J59" s="707"/>
      <c r="K59" s="707"/>
      <c r="L59" s="707"/>
      <c r="M59" s="707"/>
      <c r="N59" s="707"/>
      <c r="O59" s="707"/>
      <c r="P59" s="707"/>
    </row>
    <row r="60" spans="1:16" ht="18" customHeight="1" x14ac:dyDescent="0.25">
      <c r="A60" s="707"/>
      <c r="B60" s="909" t="s">
        <v>115</v>
      </c>
      <c r="C60" s="909"/>
      <c r="D60" s="909"/>
      <c r="E60" s="707"/>
      <c r="F60" s="707"/>
      <c r="G60" s="707"/>
      <c r="H60" s="707"/>
      <c r="I60" s="707"/>
      <c r="J60" s="707"/>
      <c r="K60" s="707"/>
      <c r="L60" s="707"/>
      <c r="M60" s="707"/>
      <c r="N60" s="707"/>
      <c r="O60" s="707"/>
      <c r="P60" s="707"/>
    </row>
    <row r="61" spans="1:16" x14ac:dyDescent="0.25">
      <c r="A61" s="707"/>
      <c r="B61" s="910"/>
      <c r="C61" s="911"/>
      <c r="D61" s="911"/>
      <c r="E61" s="707"/>
      <c r="F61" s="707"/>
      <c r="G61" s="707"/>
      <c r="H61" s="707"/>
      <c r="I61" s="707"/>
      <c r="J61" s="707"/>
      <c r="K61" s="707"/>
      <c r="L61" s="707"/>
      <c r="M61" s="707"/>
      <c r="N61" s="707"/>
      <c r="O61" s="707"/>
      <c r="P61" s="707"/>
    </row>
    <row r="62" spans="1:16" ht="13" customHeight="1" x14ac:dyDescent="0.25">
      <c r="G62" s="756"/>
    </row>
    <row r="63" spans="1:16" ht="13" customHeight="1" x14ac:dyDescent="0.25">
      <c r="G63" s="756"/>
    </row>
    <row r="64" spans="1:16" ht="13" customHeight="1" x14ac:dyDescent="0.25">
      <c r="G64" s="756"/>
    </row>
    <row r="65" spans="1:7" ht="13" customHeight="1" x14ac:dyDescent="0.25">
      <c r="A65" s="756"/>
      <c r="G65" s="756"/>
    </row>
    <row r="66" spans="1:7" ht="13" customHeight="1" x14ac:dyDescent="0.25">
      <c r="B66" s="757" t="s">
        <v>116</v>
      </c>
      <c r="G66" s="756"/>
    </row>
    <row r="67" spans="1:7" ht="13" customHeight="1" x14ac:dyDescent="0.25">
      <c r="B67" s="757" t="s">
        <v>117</v>
      </c>
    </row>
    <row r="68" spans="1:7" ht="13" customHeight="1" x14ac:dyDescent="0.25">
      <c r="B68" s="757" t="s">
        <v>118</v>
      </c>
    </row>
    <row r="69" spans="1:7" ht="13" customHeight="1" x14ac:dyDescent="0.25">
      <c r="B69" s="757" t="s">
        <v>119</v>
      </c>
    </row>
    <row r="70" spans="1:7" x14ac:dyDescent="0.25">
      <c r="B70" s="757" t="s">
        <v>120</v>
      </c>
    </row>
    <row r="71" spans="1:7" x14ac:dyDescent="0.25">
      <c r="B71" s="757" t="s">
        <v>121</v>
      </c>
    </row>
    <row r="72" spans="1:7" x14ac:dyDescent="0.25">
      <c r="A72" s="758"/>
      <c r="B72" s="757" t="s">
        <v>122</v>
      </c>
    </row>
    <row r="73" spans="1:7" x14ac:dyDescent="0.25">
      <c r="A73" s="758"/>
      <c r="B73" s="757" t="s">
        <v>114</v>
      </c>
    </row>
    <row r="74" spans="1:7" x14ac:dyDescent="0.25">
      <c r="A74" s="758"/>
      <c r="B74" s="757" t="s">
        <v>123</v>
      </c>
    </row>
    <row r="75" spans="1:7" x14ac:dyDescent="0.25">
      <c r="B75" s="757" t="s">
        <v>124</v>
      </c>
    </row>
    <row r="76" spans="1:7" x14ac:dyDescent="0.25">
      <c r="B76" s="757" t="s">
        <v>125</v>
      </c>
    </row>
    <row r="77" spans="1:7" x14ac:dyDescent="0.25">
      <c r="B77" s="757" t="s">
        <v>126</v>
      </c>
    </row>
    <row r="78" spans="1:7" x14ac:dyDescent="0.25">
      <c r="B78" s="759" t="s">
        <v>127</v>
      </c>
    </row>
    <row r="79" spans="1:7" x14ac:dyDescent="0.25">
      <c r="B79" s="759" t="s">
        <v>128</v>
      </c>
    </row>
    <row r="80" spans="1:7" x14ac:dyDescent="0.25">
      <c r="B80" s="759" t="s">
        <v>129</v>
      </c>
    </row>
    <row r="81" spans="1:2" x14ac:dyDescent="0.25">
      <c r="B81" s="757" t="s">
        <v>130</v>
      </c>
    </row>
    <row r="82" spans="1:2" x14ac:dyDescent="0.25">
      <c r="B82" s="757" t="s">
        <v>131</v>
      </c>
    </row>
    <row r="83" spans="1:2" x14ac:dyDescent="0.25">
      <c r="B83" s="757" t="s">
        <v>132</v>
      </c>
    </row>
    <row r="84" spans="1:2" x14ac:dyDescent="0.25">
      <c r="B84" s="757" t="s">
        <v>133</v>
      </c>
    </row>
    <row r="85" spans="1:2" x14ac:dyDescent="0.25">
      <c r="B85" s="759" t="s">
        <v>134</v>
      </c>
    </row>
    <row r="86" spans="1:2" x14ac:dyDescent="0.25">
      <c r="B86" s="759" t="s">
        <v>135</v>
      </c>
    </row>
    <row r="87" spans="1:2" x14ac:dyDescent="0.25">
      <c r="B87" s="759" t="s">
        <v>136</v>
      </c>
    </row>
    <row r="88" spans="1:2" x14ac:dyDescent="0.25">
      <c r="B88" s="759" t="s">
        <v>137</v>
      </c>
    </row>
    <row r="89" spans="1:2" x14ac:dyDescent="0.25">
      <c r="B89" s="759" t="s">
        <v>138</v>
      </c>
    </row>
    <row r="90" spans="1:2" x14ac:dyDescent="0.25">
      <c r="A90" s="758"/>
    </row>
    <row r="91" spans="1:2" x14ac:dyDescent="0.25">
      <c r="A91" s="760"/>
    </row>
    <row r="92" spans="1:2" x14ac:dyDescent="0.25">
      <c r="A92" s="761"/>
    </row>
    <row r="93" spans="1:2" x14ac:dyDescent="0.25">
      <c r="A93" s="761"/>
    </row>
    <row r="95" spans="1:2" x14ac:dyDescent="0.25">
      <c r="A95" s="762"/>
    </row>
    <row r="96" spans="1:2" x14ac:dyDescent="0.25">
      <c r="A96" s="762"/>
    </row>
    <row r="97" spans="1:1" x14ac:dyDescent="0.25">
      <c r="A97" s="762"/>
    </row>
  </sheetData>
  <sheetProtection formatCells="0" formatColumns="0" formatRows="0" insertColumns="0" insertRows="0" deleteColumns="0" deleteRows="0"/>
  <mergeCells count="38">
    <mergeCell ref="B55:O56"/>
    <mergeCell ref="B60:D60"/>
    <mergeCell ref="B61:D61"/>
    <mergeCell ref="B58:D58"/>
    <mergeCell ref="C35:C36"/>
    <mergeCell ref="D35:D36"/>
    <mergeCell ref="F35:I35"/>
    <mergeCell ref="O40:P40"/>
    <mergeCell ref="B52:M52"/>
    <mergeCell ref="B51:M51"/>
    <mergeCell ref="B35:B36"/>
    <mergeCell ref="K35:K36"/>
    <mergeCell ref="C37:C41"/>
    <mergeCell ref="L35:L36"/>
    <mergeCell ref="M35:M36"/>
    <mergeCell ref="B50:M50"/>
    <mergeCell ref="A1:P1"/>
    <mergeCell ref="C29:H29"/>
    <mergeCell ref="B25:B26"/>
    <mergeCell ref="C25:H26"/>
    <mergeCell ref="I25:J26"/>
    <mergeCell ref="C28:H28"/>
    <mergeCell ref="E2:H2"/>
    <mergeCell ref="I2:L2"/>
    <mergeCell ref="K25:L26"/>
    <mergeCell ref="E8:F8"/>
    <mergeCell ref="E9:F9"/>
    <mergeCell ref="E18:F18"/>
    <mergeCell ref="U26:U27"/>
    <mergeCell ref="N37:N41"/>
    <mergeCell ref="O41:P41"/>
    <mergeCell ref="N35:N36"/>
    <mergeCell ref="O35:P36"/>
    <mergeCell ref="O37:P37"/>
    <mergeCell ref="O38:P38"/>
    <mergeCell ref="O39:P39"/>
    <mergeCell ref="R26:S27"/>
    <mergeCell ref="T26:T27"/>
  </mergeCells>
  <phoneticPr fontId="0" type="noConversion"/>
  <dataValidations count="2">
    <dataValidation allowBlank="1" showInputMessage="1" sqref="B2:E2 I2 M2:P2" xr:uid="{2FFE9060-5131-470E-97D5-290120B9C848}"/>
    <dataValidation type="list" allowBlank="1" showInputMessage="1" showErrorMessage="1" sqref="B58:D58" xr:uid="{DDF1A986-2C54-4E2D-A59A-744A514C024F}">
      <formula1>$B$66:$B$92</formula1>
    </dataValidation>
  </dataValidations>
  <printOptions horizontalCentered="1"/>
  <pageMargins left="0.5" right="0.25" top="0.25" bottom="0.2" header="0.25" footer="0.25"/>
  <pageSetup paperSize="9" scale="64" orientation="portrait" horizontalDpi="4294967294" r:id="rId1"/>
  <headerFooter differentOddEven="1">
    <oddHeader>&amp;R&amp;"Times New Roman,Regular"&amp;9WF.ID 054-18 / REV : 1</oddHeader>
  </headerFooter>
  <drawing r:id="rId2"/>
  <legacyDrawing r:id="rId3"/>
  <oleObjects>
    <mc:AlternateContent xmlns:mc="http://schemas.openxmlformats.org/markup-compatibility/2006">
      <mc:Choice Requires="x14">
        <oleObject progId="Equation.3" shapeId="6145" r:id="rId4">
          <objectPr defaultSize="0" autoPict="0" r:id="rId5">
            <anchor moveWithCells="1" sizeWithCells="1">
              <from>
                <xdr:col>10</xdr:col>
                <xdr:colOff>12700</xdr:colOff>
                <xdr:row>3</xdr:row>
                <xdr:rowOff>0</xdr:rowOff>
              </from>
              <to>
                <xdr:col>10</xdr:col>
                <xdr:colOff>412750</xdr:colOff>
                <xdr:row>3</xdr:row>
                <xdr:rowOff>0</xdr:rowOff>
              </to>
            </anchor>
          </objectPr>
        </oleObject>
      </mc:Choice>
      <mc:Fallback>
        <oleObject progId="Equation.3" shapeId="6145" r:id="rId4"/>
      </mc:Fallback>
    </mc:AlternateContent>
    <mc:AlternateContent xmlns:mc="http://schemas.openxmlformats.org/markup-compatibility/2006">
      <mc:Choice Requires="x14">
        <oleObject progId="Equation.3" shapeId="6146" r:id="rId6">
          <objectPr defaultSize="0" autoPict="0" r:id="rId5">
            <anchor moveWithCells="1" sizeWithCells="1">
              <from>
                <xdr:col>10</xdr:col>
                <xdr:colOff>12700</xdr:colOff>
                <xdr:row>3</xdr:row>
                <xdr:rowOff>0</xdr:rowOff>
              </from>
              <to>
                <xdr:col>10</xdr:col>
                <xdr:colOff>412750</xdr:colOff>
                <xdr:row>3</xdr:row>
                <xdr:rowOff>0</xdr:rowOff>
              </to>
            </anchor>
          </objectPr>
        </oleObject>
      </mc:Choice>
      <mc:Fallback>
        <oleObject progId="Equation.3" shapeId="6146" r:id="rId6"/>
      </mc:Fallback>
    </mc:AlternateContent>
    <mc:AlternateContent xmlns:mc="http://schemas.openxmlformats.org/markup-compatibility/2006">
      <mc:Choice Requires="x14">
        <oleObject progId="Equation.3" shapeId="6147" r:id="rId7">
          <objectPr defaultSize="0" autoPict="0" r:id="rId5">
            <anchor moveWithCells="1" sizeWithCells="1">
              <from>
                <xdr:col>10</xdr:col>
                <xdr:colOff>12700</xdr:colOff>
                <xdr:row>3</xdr:row>
                <xdr:rowOff>0</xdr:rowOff>
              </from>
              <to>
                <xdr:col>10</xdr:col>
                <xdr:colOff>412750</xdr:colOff>
                <xdr:row>3</xdr:row>
                <xdr:rowOff>0</xdr:rowOff>
              </to>
            </anchor>
          </objectPr>
        </oleObject>
      </mc:Choice>
      <mc:Fallback>
        <oleObject progId="Equation.3" shapeId="6147" r:id="rId7"/>
      </mc:Fallback>
    </mc:AlternateContent>
    <mc:AlternateContent xmlns:mc="http://schemas.openxmlformats.org/markup-compatibility/2006">
      <mc:Choice Requires="x14">
        <oleObject progId="Equation.3" shapeId="6148" r:id="rId8">
          <objectPr defaultSize="0" autoPict="0" r:id="rId5">
            <anchor moveWithCells="1" sizeWithCells="1">
              <from>
                <xdr:col>10</xdr:col>
                <xdr:colOff>12700</xdr:colOff>
                <xdr:row>3</xdr:row>
                <xdr:rowOff>0</xdr:rowOff>
              </from>
              <to>
                <xdr:col>10</xdr:col>
                <xdr:colOff>412750</xdr:colOff>
                <xdr:row>3</xdr:row>
                <xdr:rowOff>0</xdr:rowOff>
              </to>
            </anchor>
          </objectPr>
        </oleObject>
      </mc:Choice>
      <mc:Fallback>
        <oleObject progId="Equation.3" shapeId="6148" r:id="rId8"/>
      </mc:Fallback>
    </mc:AlternateContent>
    <mc:AlternateContent xmlns:mc="http://schemas.openxmlformats.org/markup-compatibility/2006">
      <mc:Choice Requires="x14">
        <oleObject progId="Equation.3" shapeId="6149" r:id="rId9">
          <objectPr defaultSize="0" autoPict="0" r:id="rId5">
            <anchor moveWithCells="1" sizeWithCells="1">
              <from>
                <xdr:col>10</xdr:col>
                <xdr:colOff>12700</xdr:colOff>
                <xdr:row>3</xdr:row>
                <xdr:rowOff>0</xdr:rowOff>
              </from>
              <to>
                <xdr:col>10</xdr:col>
                <xdr:colOff>412750</xdr:colOff>
                <xdr:row>3</xdr:row>
                <xdr:rowOff>0</xdr:rowOff>
              </to>
            </anchor>
          </objectPr>
        </oleObject>
      </mc:Choice>
      <mc:Fallback>
        <oleObject progId="Equation.3" shapeId="6149" r:id="rId9"/>
      </mc:Fallback>
    </mc:AlternateContent>
    <mc:AlternateContent xmlns:mc="http://schemas.openxmlformats.org/markup-compatibility/2006">
      <mc:Choice Requires="x14">
        <oleObject progId="Equation.3" shapeId="6150" r:id="rId10">
          <objectPr defaultSize="0" autoPict="0" r:id="rId5">
            <anchor moveWithCells="1" sizeWithCells="1">
              <from>
                <xdr:col>10</xdr:col>
                <xdr:colOff>12700</xdr:colOff>
                <xdr:row>3</xdr:row>
                <xdr:rowOff>0</xdr:rowOff>
              </from>
              <to>
                <xdr:col>10</xdr:col>
                <xdr:colOff>412750</xdr:colOff>
                <xdr:row>3</xdr:row>
                <xdr:rowOff>0</xdr:rowOff>
              </to>
            </anchor>
          </objectPr>
        </oleObject>
      </mc:Choice>
      <mc:Fallback>
        <oleObject progId="Equation.3" shapeId="6150" r:id="rId10"/>
      </mc:Fallback>
    </mc:AlternateContent>
    <mc:AlternateContent xmlns:mc="http://schemas.openxmlformats.org/markup-compatibility/2006">
      <mc:Choice Requires="x14">
        <oleObject progId="Equation.3" shapeId="6151" r:id="rId11">
          <objectPr defaultSize="0" autoPict="0" r:id="rId5">
            <anchor moveWithCells="1" sizeWithCells="1">
              <from>
                <xdr:col>10</xdr:col>
                <xdr:colOff>12700</xdr:colOff>
                <xdr:row>3</xdr:row>
                <xdr:rowOff>0</xdr:rowOff>
              </from>
              <to>
                <xdr:col>10</xdr:col>
                <xdr:colOff>412750</xdr:colOff>
                <xdr:row>3</xdr:row>
                <xdr:rowOff>0</xdr:rowOff>
              </to>
            </anchor>
          </objectPr>
        </oleObject>
      </mc:Choice>
      <mc:Fallback>
        <oleObject progId="Equation.3" shapeId="6151" r:id="rId11"/>
      </mc:Fallback>
    </mc:AlternateContent>
    <mc:AlternateContent xmlns:mc="http://schemas.openxmlformats.org/markup-compatibility/2006">
      <mc:Choice Requires="x14">
        <oleObject progId="Equation.3" shapeId="6152" r:id="rId12">
          <objectPr defaultSize="0" autoPict="0" r:id="rId5">
            <anchor moveWithCells="1" sizeWithCells="1">
              <from>
                <xdr:col>10</xdr:col>
                <xdr:colOff>12700</xdr:colOff>
                <xdr:row>3</xdr:row>
                <xdr:rowOff>0</xdr:rowOff>
              </from>
              <to>
                <xdr:col>10</xdr:col>
                <xdr:colOff>412750</xdr:colOff>
                <xdr:row>3</xdr:row>
                <xdr:rowOff>0</xdr:rowOff>
              </to>
            </anchor>
          </objectPr>
        </oleObject>
      </mc:Choice>
      <mc:Fallback>
        <oleObject progId="Equation.3" shapeId="6152" r:id="rId12"/>
      </mc:Fallback>
    </mc:AlternateContent>
    <mc:AlternateContent xmlns:mc="http://schemas.openxmlformats.org/markup-compatibility/2006">
      <mc:Choice Requires="x14">
        <oleObject progId="Equation.3" shapeId="6153" r:id="rId13">
          <objectPr defaultSize="0" autoPict="0" r:id="rId5">
            <anchor moveWithCells="1" sizeWithCells="1">
              <from>
                <xdr:col>10</xdr:col>
                <xdr:colOff>12700</xdr:colOff>
                <xdr:row>3</xdr:row>
                <xdr:rowOff>0</xdr:rowOff>
              </from>
              <to>
                <xdr:col>10</xdr:col>
                <xdr:colOff>412750</xdr:colOff>
                <xdr:row>3</xdr:row>
                <xdr:rowOff>0</xdr:rowOff>
              </to>
            </anchor>
          </objectPr>
        </oleObject>
      </mc:Choice>
      <mc:Fallback>
        <oleObject progId="Equation.3" shapeId="6153" r:id="rId13"/>
      </mc:Fallback>
    </mc:AlternateContent>
    <mc:AlternateContent xmlns:mc="http://schemas.openxmlformats.org/markup-compatibility/2006">
      <mc:Choice Requires="x14">
        <oleObject progId="Equation.3" shapeId="6154" r:id="rId14">
          <objectPr defaultSize="0" autoPict="0" r:id="rId5">
            <anchor moveWithCells="1" sizeWithCells="1">
              <from>
                <xdr:col>10</xdr:col>
                <xdr:colOff>12700</xdr:colOff>
                <xdr:row>3</xdr:row>
                <xdr:rowOff>0</xdr:rowOff>
              </from>
              <to>
                <xdr:col>10</xdr:col>
                <xdr:colOff>412750</xdr:colOff>
                <xdr:row>3</xdr:row>
                <xdr:rowOff>0</xdr:rowOff>
              </to>
            </anchor>
          </objectPr>
        </oleObject>
      </mc:Choice>
      <mc:Fallback>
        <oleObject progId="Equation.3" shapeId="6154" r:id="rId14"/>
      </mc:Fallback>
    </mc:AlternateContent>
    <mc:AlternateContent xmlns:mc="http://schemas.openxmlformats.org/markup-compatibility/2006">
      <mc:Choice Requires="x14">
        <oleObject progId="Equation.3" shapeId="6155" r:id="rId15">
          <objectPr defaultSize="0" autoPict="0" r:id="rId5">
            <anchor moveWithCells="1" sizeWithCells="1">
              <from>
                <xdr:col>10</xdr:col>
                <xdr:colOff>38100</xdr:colOff>
                <xdr:row>3</xdr:row>
                <xdr:rowOff>0</xdr:rowOff>
              </from>
              <to>
                <xdr:col>10</xdr:col>
                <xdr:colOff>419100</xdr:colOff>
                <xdr:row>3</xdr:row>
                <xdr:rowOff>0</xdr:rowOff>
              </to>
            </anchor>
          </objectPr>
        </oleObject>
      </mc:Choice>
      <mc:Fallback>
        <oleObject progId="Equation.3" shapeId="6155" r:id="rId15"/>
      </mc:Fallback>
    </mc:AlternateContent>
    <mc:AlternateContent xmlns:mc="http://schemas.openxmlformats.org/markup-compatibility/2006">
      <mc:Choice Requires="x14">
        <oleObject progId="Equation.3" shapeId="6156" r:id="rId16">
          <objectPr defaultSize="0" autoPict="0" r:id="rId5">
            <anchor moveWithCells="1" sizeWithCells="1">
              <from>
                <xdr:col>10</xdr:col>
                <xdr:colOff>12700</xdr:colOff>
                <xdr:row>84</xdr:row>
                <xdr:rowOff>0</xdr:rowOff>
              </from>
              <to>
                <xdr:col>10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6156" r:id="rId16"/>
      </mc:Fallback>
    </mc:AlternateContent>
    <mc:AlternateContent xmlns:mc="http://schemas.openxmlformats.org/markup-compatibility/2006">
      <mc:Choice Requires="x14">
        <oleObject progId="Equation.3" shapeId="6157" r:id="rId17">
          <objectPr defaultSize="0" autoPict="0" r:id="rId5">
            <anchor moveWithCells="1" sizeWithCells="1">
              <from>
                <xdr:col>10</xdr:col>
                <xdr:colOff>12700</xdr:colOff>
                <xdr:row>84</xdr:row>
                <xdr:rowOff>0</xdr:rowOff>
              </from>
              <to>
                <xdr:col>10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6157" r:id="rId17"/>
      </mc:Fallback>
    </mc:AlternateContent>
    <mc:AlternateContent xmlns:mc="http://schemas.openxmlformats.org/markup-compatibility/2006">
      <mc:Choice Requires="x14">
        <oleObject progId="Equation.3" shapeId="6158" r:id="rId18">
          <objectPr defaultSize="0" autoPict="0" r:id="rId5">
            <anchor moveWithCells="1" sizeWithCells="1">
              <from>
                <xdr:col>10</xdr:col>
                <xdr:colOff>12700</xdr:colOff>
                <xdr:row>84</xdr:row>
                <xdr:rowOff>0</xdr:rowOff>
              </from>
              <to>
                <xdr:col>10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6158" r:id="rId18"/>
      </mc:Fallback>
    </mc:AlternateContent>
    <mc:AlternateContent xmlns:mc="http://schemas.openxmlformats.org/markup-compatibility/2006">
      <mc:Choice Requires="x14">
        <oleObject progId="Equation.3" shapeId="6159" r:id="rId19">
          <objectPr defaultSize="0" autoPict="0" r:id="rId5">
            <anchor moveWithCells="1" sizeWithCells="1">
              <from>
                <xdr:col>10</xdr:col>
                <xdr:colOff>12700</xdr:colOff>
                <xdr:row>84</xdr:row>
                <xdr:rowOff>0</xdr:rowOff>
              </from>
              <to>
                <xdr:col>10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6159" r:id="rId19"/>
      </mc:Fallback>
    </mc:AlternateContent>
    <mc:AlternateContent xmlns:mc="http://schemas.openxmlformats.org/markup-compatibility/2006">
      <mc:Choice Requires="x14">
        <oleObject progId="Equation.3" shapeId="6160" r:id="rId20">
          <objectPr defaultSize="0" autoPict="0" r:id="rId5">
            <anchor moveWithCells="1" sizeWithCells="1">
              <from>
                <xdr:col>10</xdr:col>
                <xdr:colOff>12700</xdr:colOff>
                <xdr:row>84</xdr:row>
                <xdr:rowOff>0</xdr:rowOff>
              </from>
              <to>
                <xdr:col>10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6160" r:id="rId20"/>
      </mc:Fallback>
    </mc:AlternateContent>
    <mc:AlternateContent xmlns:mc="http://schemas.openxmlformats.org/markup-compatibility/2006">
      <mc:Choice Requires="x14">
        <oleObject progId="Equation.3" shapeId="6161" r:id="rId21">
          <objectPr defaultSize="0" autoPict="0" r:id="rId5">
            <anchor moveWithCells="1" sizeWithCells="1">
              <from>
                <xdr:col>10</xdr:col>
                <xdr:colOff>12700</xdr:colOff>
                <xdr:row>84</xdr:row>
                <xdr:rowOff>0</xdr:rowOff>
              </from>
              <to>
                <xdr:col>10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6161" r:id="rId21"/>
      </mc:Fallback>
    </mc:AlternateContent>
    <mc:AlternateContent xmlns:mc="http://schemas.openxmlformats.org/markup-compatibility/2006">
      <mc:Choice Requires="x14">
        <oleObject progId="Equation.3" shapeId="6162" r:id="rId22">
          <objectPr defaultSize="0" autoPict="0" r:id="rId5">
            <anchor moveWithCells="1" sizeWithCells="1">
              <from>
                <xdr:col>10</xdr:col>
                <xdr:colOff>12700</xdr:colOff>
                <xdr:row>84</xdr:row>
                <xdr:rowOff>0</xdr:rowOff>
              </from>
              <to>
                <xdr:col>10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6162" r:id="rId22"/>
      </mc:Fallback>
    </mc:AlternateContent>
    <mc:AlternateContent xmlns:mc="http://schemas.openxmlformats.org/markup-compatibility/2006">
      <mc:Choice Requires="x14">
        <oleObject progId="Equation.3" shapeId="6163" r:id="rId23">
          <objectPr defaultSize="0" autoPict="0" r:id="rId5">
            <anchor moveWithCells="1" sizeWithCells="1">
              <from>
                <xdr:col>10</xdr:col>
                <xdr:colOff>12700</xdr:colOff>
                <xdr:row>84</xdr:row>
                <xdr:rowOff>0</xdr:rowOff>
              </from>
              <to>
                <xdr:col>10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6163" r:id="rId23"/>
      </mc:Fallback>
    </mc:AlternateContent>
    <mc:AlternateContent xmlns:mc="http://schemas.openxmlformats.org/markup-compatibility/2006">
      <mc:Choice Requires="x14">
        <oleObject progId="Equation.3" shapeId="6164" r:id="rId24">
          <objectPr defaultSize="0" autoPict="0" r:id="rId5">
            <anchor moveWithCells="1" sizeWithCells="1">
              <from>
                <xdr:col>10</xdr:col>
                <xdr:colOff>12700</xdr:colOff>
                <xdr:row>84</xdr:row>
                <xdr:rowOff>0</xdr:rowOff>
              </from>
              <to>
                <xdr:col>10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6164" r:id="rId24"/>
      </mc:Fallback>
    </mc:AlternateContent>
    <mc:AlternateContent xmlns:mc="http://schemas.openxmlformats.org/markup-compatibility/2006">
      <mc:Choice Requires="x14">
        <oleObject progId="Equation.3" shapeId="6165" r:id="rId25">
          <objectPr defaultSize="0" autoPict="0" r:id="rId5">
            <anchor moveWithCells="1" sizeWithCells="1">
              <from>
                <xdr:col>10</xdr:col>
                <xdr:colOff>12700</xdr:colOff>
                <xdr:row>84</xdr:row>
                <xdr:rowOff>0</xdr:rowOff>
              </from>
              <to>
                <xdr:col>10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6165" r:id="rId25"/>
      </mc:Fallback>
    </mc:AlternateContent>
    <mc:AlternateContent xmlns:mc="http://schemas.openxmlformats.org/markup-compatibility/2006">
      <mc:Choice Requires="x14">
        <oleObject progId="Equation.3" shapeId="6167" r:id="rId26">
          <objectPr defaultSize="0" autoPict="0" r:id="rId5">
            <anchor moveWithCells="1" sizeWithCells="1">
              <from>
                <xdr:col>10</xdr:col>
                <xdr:colOff>12700</xdr:colOff>
                <xdr:row>31</xdr:row>
                <xdr:rowOff>0</xdr:rowOff>
              </from>
              <to>
                <xdr:col>10</xdr:col>
                <xdr:colOff>412750</xdr:colOff>
                <xdr:row>31</xdr:row>
                <xdr:rowOff>0</xdr:rowOff>
              </to>
            </anchor>
          </objectPr>
        </oleObject>
      </mc:Choice>
      <mc:Fallback>
        <oleObject progId="Equation.3" shapeId="6167" r:id="rId26"/>
      </mc:Fallback>
    </mc:AlternateContent>
    <mc:AlternateContent xmlns:mc="http://schemas.openxmlformats.org/markup-compatibility/2006">
      <mc:Choice Requires="x14">
        <oleObject progId="Equation.3" shapeId="6168" r:id="rId27">
          <objectPr defaultSize="0" autoPict="0" r:id="rId5">
            <anchor moveWithCells="1" sizeWithCells="1">
              <from>
                <xdr:col>10</xdr:col>
                <xdr:colOff>12700</xdr:colOff>
                <xdr:row>31</xdr:row>
                <xdr:rowOff>0</xdr:rowOff>
              </from>
              <to>
                <xdr:col>10</xdr:col>
                <xdr:colOff>412750</xdr:colOff>
                <xdr:row>31</xdr:row>
                <xdr:rowOff>0</xdr:rowOff>
              </to>
            </anchor>
          </objectPr>
        </oleObject>
      </mc:Choice>
      <mc:Fallback>
        <oleObject progId="Equation.3" shapeId="6168" r:id="rId27"/>
      </mc:Fallback>
    </mc:AlternateContent>
    <mc:AlternateContent xmlns:mc="http://schemas.openxmlformats.org/markup-compatibility/2006">
      <mc:Choice Requires="x14">
        <oleObject progId="Equation.3" shapeId="6169" r:id="rId28">
          <objectPr defaultSize="0" autoPict="0" r:id="rId5">
            <anchor moveWithCells="1" sizeWithCells="1">
              <from>
                <xdr:col>10</xdr:col>
                <xdr:colOff>12700</xdr:colOff>
                <xdr:row>31</xdr:row>
                <xdr:rowOff>0</xdr:rowOff>
              </from>
              <to>
                <xdr:col>10</xdr:col>
                <xdr:colOff>412750</xdr:colOff>
                <xdr:row>31</xdr:row>
                <xdr:rowOff>0</xdr:rowOff>
              </to>
            </anchor>
          </objectPr>
        </oleObject>
      </mc:Choice>
      <mc:Fallback>
        <oleObject progId="Equation.3" shapeId="6169" r:id="rId28"/>
      </mc:Fallback>
    </mc:AlternateContent>
    <mc:AlternateContent xmlns:mc="http://schemas.openxmlformats.org/markup-compatibility/2006">
      <mc:Choice Requires="x14">
        <oleObject progId="Equation.3" shapeId="6170" r:id="rId29">
          <objectPr defaultSize="0" autoPict="0" r:id="rId5">
            <anchor moveWithCells="1" sizeWithCells="1">
              <from>
                <xdr:col>10</xdr:col>
                <xdr:colOff>12700</xdr:colOff>
                <xdr:row>31</xdr:row>
                <xdr:rowOff>0</xdr:rowOff>
              </from>
              <to>
                <xdr:col>10</xdr:col>
                <xdr:colOff>412750</xdr:colOff>
                <xdr:row>31</xdr:row>
                <xdr:rowOff>0</xdr:rowOff>
              </to>
            </anchor>
          </objectPr>
        </oleObject>
      </mc:Choice>
      <mc:Fallback>
        <oleObject progId="Equation.3" shapeId="6170" r:id="rId29"/>
      </mc:Fallback>
    </mc:AlternateContent>
    <mc:AlternateContent xmlns:mc="http://schemas.openxmlformats.org/markup-compatibility/2006">
      <mc:Choice Requires="x14">
        <oleObject progId="Equation.3" shapeId="6171" r:id="rId30">
          <objectPr defaultSize="0" autoPict="0" r:id="rId5">
            <anchor moveWithCells="1" sizeWithCells="1">
              <from>
                <xdr:col>10</xdr:col>
                <xdr:colOff>12700</xdr:colOff>
                <xdr:row>31</xdr:row>
                <xdr:rowOff>0</xdr:rowOff>
              </from>
              <to>
                <xdr:col>10</xdr:col>
                <xdr:colOff>412750</xdr:colOff>
                <xdr:row>31</xdr:row>
                <xdr:rowOff>0</xdr:rowOff>
              </to>
            </anchor>
          </objectPr>
        </oleObject>
      </mc:Choice>
      <mc:Fallback>
        <oleObject progId="Equation.3" shapeId="6171" r:id="rId30"/>
      </mc:Fallback>
    </mc:AlternateContent>
    <mc:AlternateContent xmlns:mc="http://schemas.openxmlformats.org/markup-compatibility/2006">
      <mc:Choice Requires="x14">
        <oleObject progId="Equation.3" shapeId="6172" r:id="rId31">
          <objectPr defaultSize="0" autoPict="0" r:id="rId5">
            <anchor moveWithCells="1" sizeWithCells="1">
              <from>
                <xdr:col>10</xdr:col>
                <xdr:colOff>12700</xdr:colOff>
                <xdr:row>31</xdr:row>
                <xdr:rowOff>0</xdr:rowOff>
              </from>
              <to>
                <xdr:col>10</xdr:col>
                <xdr:colOff>412750</xdr:colOff>
                <xdr:row>31</xdr:row>
                <xdr:rowOff>0</xdr:rowOff>
              </to>
            </anchor>
          </objectPr>
        </oleObject>
      </mc:Choice>
      <mc:Fallback>
        <oleObject progId="Equation.3" shapeId="6172" r:id="rId31"/>
      </mc:Fallback>
    </mc:AlternateContent>
    <mc:AlternateContent xmlns:mc="http://schemas.openxmlformats.org/markup-compatibility/2006">
      <mc:Choice Requires="x14">
        <oleObject progId="Equation.3" shapeId="6173" r:id="rId32">
          <objectPr defaultSize="0" autoPict="0" r:id="rId5">
            <anchor moveWithCells="1" sizeWithCells="1">
              <from>
                <xdr:col>10</xdr:col>
                <xdr:colOff>12700</xdr:colOff>
                <xdr:row>31</xdr:row>
                <xdr:rowOff>0</xdr:rowOff>
              </from>
              <to>
                <xdr:col>10</xdr:col>
                <xdr:colOff>412750</xdr:colOff>
                <xdr:row>31</xdr:row>
                <xdr:rowOff>0</xdr:rowOff>
              </to>
            </anchor>
          </objectPr>
        </oleObject>
      </mc:Choice>
      <mc:Fallback>
        <oleObject progId="Equation.3" shapeId="6173" r:id="rId32"/>
      </mc:Fallback>
    </mc:AlternateContent>
    <mc:AlternateContent xmlns:mc="http://schemas.openxmlformats.org/markup-compatibility/2006">
      <mc:Choice Requires="x14">
        <oleObject progId="Equation.3" shapeId="6174" r:id="rId33">
          <objectPr defaultSize="0" autoPict="0" r:id="rId5">
            <anchor moveWithCells="1" sizeWithCells="1">
              <from>
                <xdr:col>10</xdr:col>
                <xdr:colOff>12700</xdr:colOff>
                <xdr:row>31</xdr:row>
                <xdr:rowOff>0</xdr:rowOff>
              </from>
              <to>
                <xdr:col>10</xdr:col>
                <xdr:colOff>412750</xdr:colOff>
                <xdr:row>31</xdr:row>
                <xdr:rowOff>0</xdr:rowOff>
              </to>
            </anchor>
          </objectPr>
        </oleObject>
      </mc:Choice>
      <mc:Fallback>
        <oleObject progId="Equation.3" shapeId="6174" r:id="rId33"/>
      </mc:Fallback>
    </mc:AlternateContent>
    <mc:AlternateContent xmlns:mc="http://schemas.openxmlformats.org/markup-compatibility/2006">
      <mc:Choice Requires="x14">
        <oleObject progId="Equation.3" shapeId="6175" r:id="rId34">
          <objectPr defaultSize="0" autoPict="0" r:id="rId5">
            <anchor moveWithCells="1" sizeWithCells="1">
              <from>
                <xdr:col>10</xdr:col>
                <xdr:colOff>12700</xdr:colOff>
                <xdr:row>31</xdr:row>
                <xdr:rowOff>0</xdr:rowOff>
              </from>
              <to>
                <xdr:col>10</xdr:col>
                <xdr:colOff>412750</xdr:colOff>
                <xdr:row>31</xdr:row>
                <xdr:rowOff>0</xdr:rowOff>
              </to>
            </anchor>
          </objectPr>
        </oleObject>
      </mc:Choice>
      <mc:Fallback>
        <oleObject progId="Equation.3" shapeId="6175" r:id="rId34"/>
      </mc:Fallback>
    </mc:AlternateContent>
    <mc:AlternateContent xmlns:mc="http://schemas.openxmlformats.org/markup-compatibility/2006">
      <mc:Choice Requires="x14">
        <oleObject progId="Equation.3" shapeId="6176" r:id="rId35">
          <objectPr defaultSize="0" autoPict="0" r:id="rId5">
            <anchor moveWithCells="1" sizeWithCells="1">
              <from>
                <xdr:col>10</xdr:col>
                <xdr:colOff>12700</xdr:colOff>
                <xdr:row>31</xdr:row>
                <xdr:rowOff>0</xdr:rowOff>
              </from>
              <to>
                <xdr:col>10</xdr:col>
                <xdr:colOff>412750</xdr:colOff>
                <xdr:row>31</xdr:row>
                <xdr:rowOff>0</xdr:rowOff>
              </to>
            </anchor>
          </objectPr>
        </oleObject>
      </mc:Choice>
      <mc:Fallback>
        <oleObject progId="Equation.3" shapeId="6176" r:id="rId35"/>
      </mc:Fallback>
    </mc:AlternateContent>
    <mc:AlternateContent xmlns:mc="http://schemas.openxmlformats.org/markup-compatibility/2006">
      <mc:Choice Requires="x14">
        <oleObject progId="Equation.3" shapeId="6177" r:id="rId36">
          <objectPr defaultSize="0" autoPict="0" r:id="rId5">
            <anchor moveWithCells="1" sizeWithCells="1">
              <from>
                <xdr:col>10</xdr:col>
                <xdr:colOff>12700</xdr:colOff>
                <xdr:row>31</xdr:row>
                <xdr:rowOff>0</xdr:rowOff>
              </from>
              <to>
                <xdr:col>10</xdr:col>
                <xdr:colOff>412750</xdr:colOff>
                <xdr:row>31</xdr:row>
                <xdr:rowOff>0</xdr:rowOff>
              </to>
            </anchor>
          </objectPr>
        </oleObject>
      </mc:Choice>
      <mc:Fallback>
        <oleObject progId="Equation.3" shapeId="6177" r:id="rId36"/>
      </mc:Fallback>
    </mc:AlternateContent>
    <mc:AlternateContent xmlns:mc="http://schemas.openxmlformats.org/markup-compatibility/2006">
      <mc:Choice Requires="x14">
        <oleObject progId="Equation.3" shapeId="6178" r:id="rId37">
          <objectPr defaultSize="0" autoPict="0" r:id="rId5">
            <anchor moveWithCells="1" sizeWithCells="1">
              <from>
                <xdr:col>10</xdr:col>
                <xdr:colOff>12700</xdr:colOff>
                <xdr:row>31</xdr:row>
                <xdr:rowOff>0</xdr:rowOff>
              </from>
              <to>
                <xdr:col>10</xdr:col>
                <xdr:colOff>412750</xdr:colOff>
                <xdr:row>31</xdr:row>
                <xdr:rowOff>0</xdr:rowOff>
              </to>
            </anchor>
          </objectPr>
        </oleObject>
      </mc:Choice>
      <mc:Fallback>
        <oleObject progId="Equation.3" shapeId="6178" r:id="rId37"/>
      </mc:Fallback>
    </mc:AlternateContent>
    <mc:AlternateContent xmlns:mc="http://schemas.openxmlformats.org/markup-compatibility/2006">
      <mc:Choice Requires="x14">
        <oleObject progId="Equation.3" shapeId="6179" r:id="rId38">
          <objectPr defaultSize="0" autoPict="0" r:id="rId5">
            <anchor moveWithCells="1" sizeWithCells="1">
              <from>
                <xdr:col>10</xdr:col>
                <xdr:colOff>12700</xdr:colOff>
                <xdr:row>31</xdr:row>
                <xdr:rowOff>0</xdr:rowOff>
              </from>
              <to>
                <xdr:col>10</xdr:col>
                <xdr:colOff>412750</xdr:colOff>
                <xdr:row>31</xdr:row>
                <xdr:rowOff>0</xdr:rowOff>
              </to>
            </anchor>
          </objectPr>
        </oleObject>
      </mc:Choice>
      <mc:Fallback>
        <oleObject progId="Equation.3" shapeId="6179" r:id="rId38"/>
      </mc:Fallback>
    </mc:AlternateContent>
    <mc:AlternateContent xmlns:mc="http://schemas.openxmlformats.org/markup-compatibility/2006">
      <mc:Choice Requires="x14">
        <oleObject progId="Equation.3" shapeId="6180" r:id="rId39">
          <objectPr defaultSize="0" autoPict="0" r:id="rId5">
            <anchor moveWithCells="1" sizeWithCells="1">
              <from>
                <xdr:col>10</xdr:col>
                <xdr:colOff>12700</xdr:colOff>
                <xdr:row>31</xdr:row>
                <xdr:rowOff>0</xdr:rowOff>
              </from>
              <to>
                <xdr:col>10</xdr:col>
                <xdr:colOff>412750</xdr:colOff>
                <xdr:row>31</xdr:row>
                <xdr:rowOff>0</xdr:rowOff>
              </to>
            </anchor>
          </objectPr>
        </oleObject>
      </mc:Choice>
      <mc:Fallback>
        <oleObject progId="Equation.3" shapeId="6180" r:id="rId39"/>
      </mc:Fallback>
    </mc:AlternateContent>
    <mc:AlternateContent xmlns:mc="http://schemas.openxmlformats.org/markup-compatibility/2006">
      <mc:Choice Requires="x14">
        <oleObject progId="Equation.3" shapeId="6181" r:id="rId40">
          <objectPr defaultSize="0" autoPict="0" r:id="rId5">
            <anchor moveWithCells="1" sizeWithCells="1">
              <from>
                <xdr:col>10</xdr:col>
                <xdr:colOff>12700</xdr:colOff>
                <xdr:row>31</xdr:row>
                <xdr:rowOff>0</xdr:rowOff>
              </from>
              <to>
                <xdr:col>10</xdr:col>
                <xdr:colOff>412750</xdr:colOff>
                <xdr:row>31</xdr:row>
                <xdr:rowOff>0</xdr:rowOff>
              </to>
            </anchor>
          </objectPr>
        </oleObject>
      </mc:Choice>
      <mc:Fallback>
        <oleObject progId="Equation.3" shapeId="6181" r:id="rId40"/>
      </mc:Fallback>
    </mc:AlternateContent>
    <mc:AlternateContent xmlns:mc="http://schemas.openxmlformats.org/markup-compatibility/2006">
      <mc:Choice Requires="x14">
        <oleObject progId="Equation.3" shapeId="6182" r:id="rId41">
          <objectPr defaultSize="0" autoPict="0" r:id="rId5">
            <anchor moveWithCells="1" sizeWithCells="1">
              <from>
                <xdr:col>10</xdr:col>
                <xdr:colOff>12700</xdr:colOff>
                <xdr:row>31</xdr:row>
                <xdr:rowOff>0</xdr:rowOff>
              </from>
              <to>
                <xdr:col>10</xdr:col>
                <xdr:colOff>412750</xdr:colOff>
                <xdr:row>31</xdr:row>
                <xdr:rowOff>0</xdr:rowOff>
              </to>
            </anchor>
          </objectPr>
        </oleObject>
      </mc:Choice>
      <mc:Fallback>
        <oleObject progId="Equation.3" shapeId="6182" r:id="rId41"/>
      </mc:Fallback>
    </mc:AlternateContent>
    <mc:AlternateContent xmlns:mc="http://schemas.openxmlformats.org/markup-compatibility/2006">
      <mc:Choice Requires="x14">
        <oleObject progId="Equation.3" shapeId="6183" r:id="rId42">
          <objectPr defaultSize="0" autoPict="0" r:id="rId5">
            <anchor moveWithCells="1" sizeWithCells="1">
              <from>
                <xdr:col>10</xdr:col>
                <xdr:colOff>12700</xdr:colOff>
                <xdr:row>31</xdr:row>
                <xdr:rowOff>0</xdr:rowOff>
              </from>
              <to>
                <xdr:col>10</xdr:col>
                <xdr:colOff>412750</xdr:colOff>
                <xdr:row>31</xdr:row>
                <xdr:rowOff>0</xdr:rowOff>
              </to>
            </anchor>
          </objectPr>
        </oleObject>
      </mc:Choice>
      <mc:Fallback>
        <oleObject progId="Equation.3" shapeId="6183" r:id="rId42"/>
      </mc:Fallback>
    </mc:AlternateContent>
    <mc:AlternateContent xmlns:mc="http://schemas.openxmlformats.org/markup-compatibility/2006">
      <mc:Choice Requires="x14">
        <oleObject progId="Equation.3" shapeId="6184" r:id="rId43">
          <objectPr defaultSize="0" autoPict="0" r:id="rId5">
            <anchor moveWithCells="1" sizeWithCells="1">
              <from>
                <xdr:col>10</xdr:col>
                <xdr:colOff>12700</xdr:colOff>
                <xdr:row>31</xdr:row>
                <xdr:rowOff>0</xdr:rowOff>
              </from>
              <to>
                <xdr:col>10</xdr:col>
                <xdr:colOff>412750</xdr:colOff>
                <xdr:row>31</xdr:row>
                <xdr:rowOff>0</xdr:rowOff>
              </to>
            </anchor>
          </objectPr>
        </oleObject>
      </mc:Choice>
      <mc:Fallback>
        <oleObject progId="Equation.3" shapeId="6184" r:id="rId43"/>
      </mc:Fallback>
    </mc:AlternateContent>
    <mc:AlternateContent xmlns:mc="http://schemas.openxmlformats.org/markup-compatibility/2006">
      <mc:Choice Requires="x14">
        <oleObject progId="Equation.3" shapeId="6185" r:id="rId44">
          <objectPr defaultSize="0" autoPict="0" r:id="rId5">
            <anchor moveWithCells="1" sizeWithCells="1">
              <from>
                <xdr:col>10</xdr:col>
                <xdr:colOff>12700</xdr:colOff>
                <xdr:row>31</xdr:row>
                <xdr:rowOff>0</xdr:rowOff>
              </from>
              <to>
                <xdr:col>10</xdr:col>
                <xdr:colOff>412750</xdr:colOff>
                <xdr:row>31</xdr:row>
                <xdr:rowOff>0</xdr:rowOff>
              </to>
            </anchor>
          </objectPr>
        </oleObject>
      </mc:Choice>
      <mc:Fallback>
        <oleObject progId="Equation.3" shapeId="6185" r:id="rId44"/>
      </mc:Fallback>
    </mc:AlternateContent>
    <mc:AlternateContent xmlns:mc="http://schemas.openxmlformats.org/markup-compatibility/2006">
      <mc:Choice Requires="x14">
        <oleObject progId="Equation.3" shapeId="6186" r:id="rId45">
          <objectPr defaultSize="0" autoPict="0" r:id="rId5">
            <anchor moveWithCells="1" sizeWithCells="1">
              <from>
                <xdr:col>10</xdr:col>
                <xdr:colOff>38100</xdr:colOff>
                <xdr:row>31</xdr:row>
                <xdr:rowOff>0</xdr:rowOff>
              </from>
              <to>
                <xdr:col>10</xdr:col>
                <xdr:colOff>419100</xdr:colOff>
                <xdr:row>31</xdr:row>
                <xdr:rowOff>0</xdr:rowOff>
              </to>
            </anchor>
          </objectPr>
        </oleObject>
      </mc:Choice>
      <mc:Fallback>
        <oleObject progId="Equation.3" shapeId="6186" r:id="rId45"/>
      </mc:Fallback>
    </mc:AlternateContent>
  </oleObjec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364F2853-3CC9-41E0-B48C-5C3FCEA8A7E6}">
          <x14:formula1>
            <xm:f>'DB ESA'!$A$299:$A$310</xm:f>
          </x14:formula1>
          <xm:sqref>B51:M51</xm:sqref>
        </x14:dataValidation>
        <x14:dataValidation type="list" allowBlank="1" showInputMessage="1" showErrorMessage="1" xr:uid="{8B0D8104-7385-48E8-ADE1-C80660E5AC7D}">
          <x14:formula1>
            <xm:f>'DB Thermohygro'!$A$390:$A$409</xm:f>
          </x14:formula1>
          <xm:sqref>B52:M52</xm:sqref>
        </x14:dataValidation>
        <x14:dataValidation type="list" allowBlank="1" showInputMessage="1" showErrorMessage="1" xr:uid="{F877C461-28B2-486E-9FDB-0EE40EA0BB84}">
          <x14:formula1>
            <xm:f>PENYELIA!$T$27:$T$28</xm:f>
          </x14:formula1>
          <xm:sqref>R26:S27</xm:sqref>
        </x14:dataValidation>
        <x14:dataValidation type="list" allowBlank="1" showInputMessage="1" showErrorMessage="1" xr:uid="{87DE9DCD-CA0F-495C-8620-17D9D8DC86DF}">
          <x14:formula1>
            <xm:f>PENYELIA!$W$26:$W$27</xm:f>
          </x14:formula1>
          <xm:sqref>C28:H28</xm:sqref>
        </x14:dataValidation>
        <x14:dataValidation type="list" allowBlank="1" showInputMessage="1" showErrorMessage="1" xr:uid="{D78E65AA-3809-41A5-8CCA-0F3EA03DF86D}">
          <x14:formula1>
            <xm:f>PENYELIA!$W$28:$W$29</xm:f>
          </x14:formula1>
          <xm:sqref>C29:H29</xm:sqref>
        </x14:dataValidation>
        <x14:dataValidation type="list" allowBlank="1" showInputMessage="1" showErrorMessage="1" xr:uid="{00000000-0002-0000-0100-000000000000}">
          <x14:formula1>
            <xm:f>PENYELIA!$B$65:$B$66</xm:f>
          </x14:formula1>
          <xm:sqref>E21:E22</xm:sqref>
        </x14:dataValidation>
        <x14:dataValidation type="list" allowBlank="1" showInputMessage="1" showErrorMessage="1" xr:uid="{F6083551-A84E-400A-A4EA-81F579BE1079}">
          <x14:formula1>
            <xm:f>'DB ECG'!$A$163:$A$174</xm:f>
          </x14:formula1>
          <xm:sqref>B50:M50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L62"/>
  <sheetViews>
    <sheetView showGridLines="0" view="pageBreakPreview" topLeftCell="A4" zoomScaleNormal="100" zoomScaleSheetLayoutView="100" workbookViewId="0">
      <selection activeCell="E11" sqref="E11"/>
    </sheetView>
  </sheetViews>
  <sheetFormatPr defaultColWidth="9.1796875" defaultRowHeight="13" x14ac:dyDescent="0.3"/>
  <cols>
    <col min="1" max="1" width="7.7265625" style="1" customWidth="1"/>
    <col min="2" max="2" width="22.453125" style="1" customWidth="1"/>
    <col min="3" max="3" width="17" style="1" customWidth="1"/>
    <col min="4" max="4" width="11.1796875" style="1" customWidth="1"/>
    <col min="5" max="5" width="9.26953125" style="1" bestFit="1" customWidth="1"/>
    <col min="6" max="6" width="9.1796875" style="1" customWidth="1"/>
    <col min="7" max="7" width="8.453125" style="1" customWidth="1"/>
    <col min="8" max="8" width="11.1796875" style="1" customWidth="1"/>
    <col min="9" max="9" width="8.453125" style="1" bestFit="1" customWidth="1"/>
    <col min="10" max="10" width="12.453125" style="1" customWidth="1"/>
    <col min="11" max="11" width="9.1796875" style="1" customWidth="1"/>
    <col min="12" max="12" width="10.81640625" style="1" customWidth="1"/>
    <col min="13" max="13" width="12.81640625" style="1" customWidth="1"/>
    <col min="14" max="14" width="19" style="1" customWidth="1"/>
    <col min="15" max="15" width="17.26953125" style="1" customWidth="1"/>
    <col min="16" max="16" width="13.54296875" style="1" customWidth="1"/>
    <col min="17" max="17" width="17.1796875" style="1" customWidth="1"/>
    <col min="18" max="18" width="17.26953125" style="1" customWidth="1"/>
    <col min="19" max="19" width="13" style="1" customWidth="1"/>
    <col min="20" max="20" width="12.453125" style="1" customWidth="1"/>
    <col min="21" max="21" width="10.453125" style="1" bestFit="1" customWidth="1"/>
    <col min="22" max="22" width="12.7265625" style="1" customWidth="1"/>
    <col min="23" max="23" width="9.1796875" style="1"/>
    <col min="24" max="24" width="11.1796875" style="1" customWidth="1"/>
    <col min="25" max="25" width="12.81640625" style="1" customWidth="1"/>
    <col min="26" max="35" width="9.1796875" style="1"/>
    <col min="36" max="36" width="10.1796875" style="1" customWidth="1"/>
    <col min="37" max="16384" width="9.1796875" style="1"/>
  </cols>
  <sheetData>
    <row r="1" spans="1:12" x14ac:dyDescent="0.3">
      <c r="B1" s="915" t="s">
        <v>139</v>
      </c>
      <c r="C1" s="915"/>
      <c r="D1" s="915"/>
      <c r="E1" s="915"/>
      <c r="F1" s="915"/>
      <c r="G1" s="915"/>
      <c r="H1" s="915"/>
      <c r="I1" s="915"/>
      <c r="J1" s="915"/>
      <c r="K1" s="915"/>
      <c r="L1" s="915"/>
    </row>
    <row r="2" spans="1:12" ht="22.5" customHeight="1" thickBot="1" x14ac:dyDescent="0.35">
      <c r="B2" s="129" t="s">
        <v>162</v>
      </c>
      <c r="C2" s="99"/>
      <c r="D2"/>
      <c r="E2" s="98"/>
      <c r="F2"/>
      <c r="G2"/>
      <c r="H2"/>
      <c r="I2"/>
      <c r="J2"/>
      <c r="K2"/>
      <c r="L2"/>
    </row>
    <row r="3" spans="1:12" ht="14" x14ac:dyDescent="0.3">
      <c r="B3" s="130" t="s">
        <v>141</v>
      </c>
      <c r="C3" s="131" t="s">
        <v>142</v>
      </c>
      <c r="D3" s="132" t="s">
        <v>143</v>
      </c>
      <c r="E3" s="131" t="s">
        <v>144</v>
      </c>
      <c r="F3" s="133" t="s">
        <v>145</v>
      </c>
      <c r="G3" s="131" t="s">
        <v>146</v>
      </c>
      <c r="H3" s="132" t="s">
        <v>147</v>
      </c>
      <c r="I3" s="131" t="s">
        <v>148</v>
      </c>
      <c r="J3" s="132" t="s">
        <v>140</v>
      </c>
      <c r="K3" s="131" t="s">
        <v>149</v>
      </c>
      <c r="L3" s="134" t="s">
        <v>150</v>
      </c>
    </row>
    <row r="4" spans="1:12" x14ac:dyDescent="0.3">
      <c r="B4" s="135" t="s">
        <v>151</v>
      </c>
      <c r="C4" s="136" t="s">
        <v>11</v>
      </c>
      <c r="D4" s="137" t="s">
        <v>152</v>
      </c>
      <c r="E4" s="185">
        <f>STDEV(ID!E37:J37)</f>
        <v>0</v>
      </c>
      <c r="F4" s="139">
        <f>SQRT(6)</f>
        <v>2.4494897427831779</v>
      </c>
      <c r="G4" s="136">
        <v>5</v>
      </c>
      <c r="H4" s="140">
        <f>E4/F4</f>
        <v>0</v>
      </c>
      <c r="I4" s="141">
        <v>1</v>
      </c>
      <c r="J4" s="140">
        <f>H4*I4</f>
        <v>0</v>
      </c>
      <c r="K4" s="142">
        <f>J4^2</f>
        <v>0</v>
      </c>
      <c r="L4" s="143">
        <f>J4^4/G4</f>
        <v>0</v>
      </c>
    </row>
    <row r="5" spans="1:12" x14ac:dyDescent="0.3">
      <c r="B5" s="144" t="s">
        <v>153</v>
      </c>
      <c r="C5" s="136" t="s">
        <v>11</v>
      </c>
      <c r="D5" s="145" t="s">
        <v>154</v>
      </c>
      <c r="E5" s="186">
        <f>0.5*ID!E7</f>
        <v>0.5</v>
      </c>
      <c r="F5" s="146">
        <f>SQRT(3)</f>
        <v>1.7320508075688772</v>
      </c>
      <c r="G5" s="136">
        <v>50</v>
      </c>
      <c r="H5" s="147">
        <f>E5/F5</f>
        <v>0.28867513459481292</v>
      </c>
      <c r="I5" s="136">
        <v>1</v>
      </c>
      <c r="J5" s="147">
        <f>H5*I5</f>
        <v>0.28867513459481292</v>
      </c>
      <c r="K5" s="148">
        <f>J5^2</f>
        <v>8.3333333333333356E-2</v>
      </c>
      <c r="L5" s="149">
        <f>J5^4/G5</f>
        <v>1.3888888888888897E-4</v>
      </c>
    </row>
    <row r="6" spans="1:12" x14ac:dyDescent="0.3">
      <c r="B6" s="150" t="s">
        <v>163</v>
      </c>
      <c r="C6" s="136" t="s">
        <v>11</v>
      </c>
      <c r="D6" s="136" t="s">
        <v>154</v>
      </c>
      <c r="E6" s="187">
        <f>'DB ECG'!J156</f>
        <v>1.4729279264634144E-3</v>
      </c>
      <c r="F6" s="151">
        <f>SQRT(3)</f>
        <v>1.7320508075688772</v>
      </c>
      <c r="G6" s="136">
        <v>50</v>
      </c>
      <c r="H6" s="152">
        <f>E6/F6</f>
        <v>8.5039533484056965E-4</v>
      </c>
      <c r="I6" s="136">
        <v>1</v>
      </c>
      <c r="J6" s="152">
        <f>H6*I6</f>
        <v>8.5039533484056965E-4</v>
      </c>
      <c r="K6" s="148">
        <f>J6^2</f>
        <v>7.2317222551860456E-7</v>
      </c>
      <c r="L6" s="153">
        <f>J6^4/G6</f>
        <v>1.0459561355230629E-14</v>
      </c>
    </row>
    <row r="7" spans="1:12" x14ac:dyDescent="0.3">
      <c r="B7" s="154" t="s">
        <v>164</v>
      </c>
      <c r="C7" s="136" t="s">
        <v>11</v>
      </c>
      <c r="D7" s="145" t="s">
        <v>152</v>
      </c>
      <c r="E7" s="155">
        <f>'DB ECG'!H156</f>
        <v>1.8600006000000016E-2</v>
      </c>
      <c r="F7" s="156">
        <v>2</v>
      </c>
      <c r="G7" s="136">
        <v>50</v>
      </c>
      <c r="H7" s="147">
        <f>E7/F7</f>
        <v>9.3000030000000081E-3</v>
      </c>
      <c r="I7" s="136">
        <v>1</v>
      </c>
      <c r="J7" s="147">
        <f>H7*I7</f>
        <v>9.3000030000000081E-3</v>
      </c>
      <c r="K7" s="148">
        <f>J7^2</f>
        <v>8.6490055800009152E-5</v>
      </c>
      <c r="L7" s="153">
        <f>J7^4/G7</f>
        <v>1.4961059504577393E-10</v>
      </c>
    </row>
    <row r="8" spans="1:12" ht="14.25" customHeight="1" x14ac:dyDescent="0.3">
      <c r="B8" s="157" t="s">
        <v>155</v>
      </c>
      <c r="C8" s="100"/>
      <c r="D8" s="100"/>
      <c r="E8" s="100"/>
      <c r="F8" s="158"/>
      <c r="G8" s="100"/>
      <c r="H8" s="100"/>
      <c r="I8" s="100"/>
      <c r="J8" s="100"/>
      <c r="K8" s="159">
        <f>SUM(K4:K7)</f>
        <v>8.3420546561358888E-2</v>
      </c>
      <c r="L8" s="160">
        <f>SUM(L4:L7)</f>
        <v>1.3888903850994358E-4</v>
      </c>
    </row>
    <row r="9" spans="1:12" ht="17" x14ac:dyDescent="0.45">
      <c r="B9" s="161" t="s">
        <v>156</v>
      </c>
      <c r="C9" s="162"/>
      <c r="D9" s="162"/>
      <c r="E9" s="162"/>
      <c r="F9" s="163"/>
      <c r="G9" s="162"/>
      <c r="H9" s="164" t="s">
        <v>165</v>
      </c>
      <c r="I9" s="162"/>
      <c r="J9" s="162"/>
      <c r="K9" s="165">
        <f>SQRT(K8)</f>
        <v>0.28882615283481322</v>
      </c>
      <c r="L9" s="166"/>
    </row>
    <row r="10" spans="1:12" ht="17.5" x14ac:dyDescent="0.45">
      <c r="B10" s="157" t="s">
        <v>157</v>
      </c>
      <c r="C10" s="167"/>
      <c r="D10" s="167"/>
      <c r="E10" s="167"/>
      <c r="F10" s="168"/>
      <c r="G10" s="167"/>
      <c r="H10" s="169" t="s">
        <v>166</v>
      </c>
      <c r="I10" s="167"/>
      <c r="J10" s="167"/>
      <c r="K10" s="170">
        <f>K9^4/(L8)</f>
        <v>50.104656661566757</v>
      </c>
      <c r="L10" s="171"/>
    </row>
    <row r="11" spans="1:12" ht="15.5" x14ac:dyDescent="0.35">
      <c r="A11" s="8"/>
      <c r="B11" s="161" t="s">
        <v>167</v>
      </c>
      <c r="C11" s="162"/>
      <c r="D11" s="162"/>
      <c r="E11" s="162"/>
      <c r="F11" s="163"/>
      <c r="G11" s="162"/>
      <c r="H11" s="172" t="s">
        <v>158</v>
      </c>
      <c r="I11" s="162"/>
      <c r="J11" s="162"/>
      <c r="K11" s="173">
        <f>1.95996+(2.37356/K10)+(2.818745/K10^2)+(2.546662/K10^3)+(1.761829/K10^4)+(0.245458/K10^5)+(1.000764/K10^6)</f>
        <v>2.0084753630545134</v>
      </c>
      <c r="L11" s="166"/>
    </row>
    <row r="12" spans="1:12" ht="14.5" thickBot="1" x14ac:dyDescent="0.35">
      <c r="A12" s="8"/>
      <c r="B12" s="174" t="s">
        <v>159</v>
      </c>
      <c r="C12" s="175"/>
      <c r="D12" s="175"/>
      <c r="E12" s="175"/>
      <c r="F12" s="176"/>
      <c r="G12" s="175"/>
      <c r="H12" s="177" t="s">
        <v>160</v>
      </c>
      <c r="I12" s="175"/>
      <c r="J12" s="175"/>
      <c r="K12" s="280">
        <f>K9*K11</f>
        <v>0.58010021217453989</v>
      </c>
      <c r="L12" s="281" t="s">
        <v>11</v>
      </c>
    </row>
    <row r="13" spans="1:12" ht="14" x14ac:dyDescent="0.3">
      <c r="B13" s="178"/>
      <c r="C13"/>
      <c r="D13"/>
      <c r="E13"/>
      <c r="F13"/>
      <c r="G13"/>
      <c r="H13"/>
      <c r="I13"/>
      <c r="J13"/>
      <c r="K13" s="282">
        <f>K12/30*100</f>
        <v>1.9336673739151329</v>
      </c>
      <c r="L13" s="283" t="s">
        <v>161</v>
      </c>
    </row>
    <row r="14" spans="1:12" ht="13.5" thickBot="1" x14ac:dyDescent="0.35">
      <c r="B14" s="129" t="s">
        <v>168</v>
      </c>
      <c r="C14" s="99"/>
      <c r="D14"/>
      <c r="E14" s="98"/>
      <c r="F14"/>
      <c r="G14"/>
      <c r="H14"/>
      <c r="I14"/>
      <c r="J14"/>
      <c r="K14"/>
      <c r="L14"/>
    </row>
    <row r="15" spans="1:12" ht="14" x14ac:dyDescent="0.3">
      <c r="B15" s="130" t="s">
        <v>141</v>
      </c>
      <c r="C15" s="131" t="s">
        <v>142</v>
      </c>
      <c r="D15" s="132" t="s">
        <v>143</v>
      </c>
      <c r="E15" s="131" t="s">
        <v>144</v>
      </c>
      <c r="F15" s="133" t="s">
        <v>145</v>
      </c>
      <c r="G15" s="131" t="s">
        <v>146</v>
      </c>
      <c r="H15" s="132" t="s">
        <v>147</v>
      </c>
      <c r="I15" s="131" t="s">
        <v>148</v>
      </c>
      <c r="J15" s="132" t="s">
        <v>140</v>
      </c>
      <c r="K15" s="131" t="s">
        <v>149</v>
      </c>
      <c r="L15" s="134" t="s">
        <v>150</v>
      </c>
    </row>
    <row r="16" spans="1:12" x14ac:dyDescent="0.3">
      <c r="B16" s="135" t="s">
        <v>151</v>
      </c>
      <c r="C16" s="136" t="s">
        <v>11</v>
      </c>
      <c r="D16" s="137" t="s">
        <v>152</v>
      </c>
      <c r="E16" s="185">
        <f>STDEV(ID!E38:J38)</f>
        <v>0</v>
      </c>
      <c r="F16" s="139">
        <f>SQRT(6)</f>
        <v>2.4494897427831779</v>
      </c>
      <c r="G16" s="136">
        <v>5</v>
      </c>
      <c r="H16" s="140">
        <f>E16/F16</f>
        <v>0</v>
      </c>
      <c r="I16" s="141">
        <v>1</v>
      </c>
      <c r="J16" s="140">
        <f>H16*I16</f>
        <v>0</v>
      </c>
      <c r="K16" s="142">
        <f>J16^2</f>
        <v>0</v>
      </c>
      <c r="L16" s="143">
        <f>J16^4/G16</f>
        <v>0</v>
      </c>
    </row>
    <row r="17" spans="2:12" x14ac:dyDescent="0.3">
      <c r="B17" s="144" t="s">
        <v>153</v>
      </c>
      <c r="C17" s="136" t="s">
        <v>11</v>
      </c>
      <c r="D17" s="145" t="s">
        <v>154</v>
      </c>
      <c r="E17" s="186">
        <f>E5</f>
        <v>0.5</v>
      </c>
      <c r="F17" s="146">
        <f>SQRT(3)</f>
        <v>1.7320508075688772</v>
      </c>
      <c r="G17" s="136">
        <v>50</v>
      </c>
      <c r="H17" s="147">
        <f>E17/F17</f>
        <v>0.28867513459481292</v>
      </c>
      <c r="I17" s="136">
        <v>1</v>
      </c>
      <c r="J17" s="147">
        <f>H17*I17</f>
        <v>0.28867513459481292</v>
      </c>
      <c r="K17" s="148">
        <f>J17^2</f>
        <v>8.3333333333333356E-2</v>
      </c>
      <c r="L17" s="149">
        <f>J17^4/G17</f>
        <v>1.3888888888888897E-4</v>
      </c>
    </row>
    <row r="18" spans="2:12" x14ac:dyDescent="0.3">
      <c r="B18" s="150" t="s">
        <v>163</v>
      </c>
      <c r="C18" s="136" t="s">
        <v>11</v>
      </c>
      <c r="D18" s="136" t="s">
        <v>154</v>
      </c>
      <c r="E18" s="187">
        <f>'DB ECG'!J157</f>
        <v>4.764512195121951E-3</v>
      </c>
      <c r="F18" s="151">
        <f>SQRT(3)</f>
        <v>1.7320508075688772</v>
      </c>
      <c r="G18" s="136">
        <v>50</v>
      </c>
      <c r="H18" s="152">
        <f>E18/F18</f>
        <v>2.7507923984109134E-3</v>
      </c>
      <c r="I18" s="136">
        <v>1</v>
      </c>
      <c r="J18" s="152">
        <f>H18*I18</f>
        <v>2.7507923984109134E-3</v>
      </c>
      <c r="K18" s="148">
        <f>J18^2</f>
        <v>7.5668588191552655E-6</v>
      </c>
      <c r="L18" s="153">
        <f>J18^4/G18</f>
        <v>1.1451470477805564E-12</v>
      </c>
    </row>
    <row r="19" spans="2:12" x14ac:dyDescent="0.3">
      <c r="B19" s="154" t="s">
        <v>164</v>
      </c>
      <c r="C19" s="136" t="s">
        <v>11</v>
      </c>
      <c r="D19" s="145" t="s">
        <v>152</v>
      </c>
      <c r="E19" s="155">
        <f>'DB ECG'!H157</f>
        <v>3.6600000000000014E-2</v>
      </c>
      <c r="F19" s="156">
        <v>2</v>
      </c>
      <c r="G19" s="136">
        <v>50</v>
      </c>
      <c r="H19" s="147">
        <f>E19/F19</f>
        <v>1.8300000000000007E-2</v>
      </c>
      <c r="I19" s="136">
        <v>1</v>
      </c>
      <c r="J19" s="147">
        <f>H19*I19</f>
        <v>1.8300000000000007E-2</v>
      </c>
      <c r="K19" s="148">
        <f>J19^2</f>
        <v>3.3489000000000029E-4</v>
      </c>
      <c r="L19" s="153">
        <f>J19^4/G19</f>
        <v>2.2430262420000041E-9</v>
      </c>
    </row>
    <row r="20" spans="2:12" ht="14" x14ac:dyDescent="0.3">
      <c r="B20" s="157" t="s">
        <v>155</v>
      </c>
      <c r="C20" s="100"/>
      <c r="D20" s="100"/>
      <c r="E20" s="100"/>
      <c r="F20" s="158"/>
      <c r="G20" s="100"/>
      <c r="H20" s="100"/>
      <c r="I20" s="100"/>
      <c r="J20" s="100"/>
      <c r="K20" s="159">
        <f>SUM(K16:K19)</f>
        <v>8.3675790192152516E-2</v>
      </c>
      <c r="L20" s="160">
        <f>SUM(L16:L19)</f>
        <v>1.3889113306027803E-4</v>
      </c>
    </row>
    <row r="21" spans="2:12" ht="17" x14ac:dyDescent="0.45">
      <c r="B21" s="161" t="s">
        <v>156</v>
      </c>
      <c r="C21" s="162"/>
      <c r="D21" s="162"/>
      <c r="E21" s="162"/>
      <c r="F21" s="163"/>
      <c r="G21" s="162"/>
      <c r="H21" s="164" t="s">
        <v>165</v>
      </c>
      <c r="I21" s="162"/>
      <c r="J21" s="162"/>
      <c r="K21" s="165">
        <f>SQRT(K20)</f>
        <v>0.28926767913500551</v>
      </c>
      <c r="L21" s="166"/>
    </row>
    <row r="22" spans="2:12" ht="17.5" x14ac:dyDescent="0.45">
      <c r="B22" s="157" t="s">
        <v>157</v>
      </c>
      <c r="C22" s="167"/>
      <c r="D22" s="167"/>
      <c r="E22" s="167"/>
      <c r="F22" s="168"/>
      <c r="G22" s="167"/>
      <c r="H22" s="169" t="s">
        <v>166</v>
      </c>
      <c r="I22" s="167"/>
      <c r="J22" s="167"/>
      <c r="K22" s="170">
        <f>K21^4/(L20)</f>
        <v>50.410978080526206</v>
      </c>
      <c r="L22" s="171"/>
    </row>
    <row r="23" spans="2:12" ht="15.5" x14ac:dyDescent="0.35">
      <c r="B23" s="161" t="s">
        <v>167</v>
      </c>
      <c r="C23" s="162"/>
      <c r="D23" s="162"/>
      <c r="E23" s="162"/>
      <c r="F23" s="163"/>
      <c r="G23" s="162"/>
      <c r="H23" s="172" t="s">
        <v>158</v>
      </c>
      <c r="I23" s="162"/>
      <c r="J23" s="162"/>
      <c r="K23" s="173">
        <f>1.95996+(2.37356/K22)+(2.818745/K22^2)+(2.546662/K22^3)+(1.761829/K22^4)+(0.245458/K22^5)+(1.000764/K22^6)</f>
        <v>2.0081735302696191</v>
      </c>
      <c r="L23" s="166"/>
    </row>
    <row r="24" spans="2:12" ht="14.5" thickBot="1" x14ac:dyDescent="0.35">
      <c r="B24" s="180" t="s">
        <v>159</v>
      </c>
      <c r="C24" s="181"/>
      <c r="D24" s="181"/>
      <c r="E24" s="181"/>
      <c r="F24" s="182"/>
      <c r="G24" s="181"/>
      <c r="H24" s="183" t="s">
        <v>160</v>
      </c>
      <c r="I24" s="181"/>
      <c r="J24" s="181"/>
      <c r="K24" s="284">
        <f>K21*K23</f>
        <v>0.58089969640144345</v>
      </c>
      <c r="L24" s="285" t="s">
        <v>11</v>
      </c>
    </row>
    <row r="25" spans="2:12" ht="14" x14ac:dyDescent="0.3">
      <c r="B25" s="157"/>
      <c r="C25" s="167"/>
      <c r="D25" s="167"/>
      <c r="E25" s="167"/>
      <c r="F25" s="168"/>
      <c r="G25" s="167"/>
      <c r="H25" s="184"/>
      <c r="I25" s="167"/>
      <c r="J25" s="167"/>
      <c r="K25" s="286">
        <f>K24/60*100</f>
        <v>0.96816616066907246</v>
      </c>
      <c r="L25" s="287" t="s">
        <v>161</v>
      </c>
    </row>
    <row r="26" spans="2:12" ht="13.5" thickBot="1" x14ac:dyDescent="0.35">
      <c r="B26" s="129" t="s">
        <v>169</v>
      </c>
      <c r="C26" s="99"/>
      <c r="D26"/>
      <c r="E26" s="98"/>
      <c r="F26"/>
      <c r="G26"/>
      <c r="H26"/>
      <c r="I26"/>
      <c r="J26"/>
      <c r="K26"/>
      <c r="L26"/>
    </row>
    <row r="27" spans="2:12" ht="14" x14ac:dyDescent="0.3">
      <c r="B27" s="130" t="s">
        <v>141</v>
      </c>
      <c r="C27" s="131" t="s">
        <v>142</v>
      </c>
      <c r="D27" s="132" t="s">
        <v>143</v>
      </c>
      <c r="E27" s="131" t="s">
        <v>144</v>
      </c>
      <c r="F27" s="133" t="s">
        <v>145</v>
      </c>
      <c r="G27" s="131" t="s">
        <v>146</v>
      </c>
      <c r="H27" s="132" t="s">
        <v>147</v>
      </c>
      <c r="I27" s="131" t="s">
        <v>148</v>
      </c>
      <c r="J27" s="132" t="s">
        <v>140</v>
      </c>
      <c r="K27" s="131" t="s">
        <v>149</v>
      </c>
      <c r="L27" s="134" t="s">
        <v>150</v>
      </c>
    </row>
    <row r="28" spans="2:12" x14ac:dyDescent="0.3">
      <c r="B28" s="135" t="s">
        <v>151</v>
      </c>
      <c r="C28" s="136" t="s">
        <v>11</v>
      </c>
      <c r="D28" s="137" t="s">
        <v>152</v>
      </c>
      <c r="E28" s="138">
        <f>STDEV(ID!E39:J39)</f>
        <v>0</v>
      </c>
      <c r="F28" s="139">
        <f>SQRT(6)</f>
        <v>2.4494897427831779</v>
      </c>
      <c r="G28" s="136">
        <v>5</v>
      </c>
      <c r="H28" s="140">
        <f>E28/F28</f>
        <v>0</v>
      </c>
      <c r="I28" s="141">
        <v>1</v>
      </c>
      <c r="J28" s="140">
        <f>H28*I28</f>
        <v>0</v>
      </c>
      <c r="K28" s="142">
        <f>J28^2</f>
        <v>0</v>
      </c>
      <c r="L28" s="143">
        <f>J28^4/G28</f>
        <v>0</v>
      </c>
    </row>
    <row r="29" spans="2:12" x14ac:dyDescent="0.3">
      <c r="B29" s="144" t="s">
        <v>153</v>
      </c>
      <c r="C29" s="136" t="s">
        <v>11</v>
      </c>
      <c r="D29" s="145" t="s">
        <v>154</v>
      </c>
      <c r="E29" s="186">
        <f>E5</f>
        <v>0.5</v>
      </c>
      <c r="F29" s="146">
        <f>SQRT(3)</f>
        <v>1.7320508075688772</v>
      </c>
      <c r="G29" s="136">
        <v>50</v>
      </c>
      <c r="H29" s="147">
        <f>E29/F29</f>
        <v>0.28867513459481292</v>
      </c>
      <c r="I29" s="136">
        <v>1</v>
      </c>
      <c r="J29" s="147">
        <f>H29*I29</f>
        <v>0.28867513459481292</v>
      </c>
      <c r="K29" s="148">
        <f>J29^2</f>
        <v>8.3333333333333356E-2</v>
      </c>
      <c r="L29" s="149">
        <f>J29^4/G29</f>
        <v>1.3888888888888897E-4</v>
      </c>
    </row>
    <row r="30" spans="2:12" x14ac:dyDescent="0.3">
      <c r="B30" s="150" t="s">
        <v>163</v>
      </c>
      <c r="C30" s="136" t="s">
        <v>11</v>
      </c>
      <c r="D30" s="136" t="s">
        <v>154</v>
      </c>
      <c r="E30" s="187">
        <f>'DB ECG'!J158</f>
        <v>1.1347682926829267E-2</v>
      </c>
      <c r="F30" s="151">
        <f>SQRT(3)</f>
        <v>1.7320508075688772</v>
      </c>
      <c r="G30" s="136">
        <v>50</v>
      </c>
      <c r="H30" s="152">
        <f>E30/F30</f>
        <v>6.5515877924833986E-3</v>
      </c>
      <c r="I30" s="136">
        <v>1</v>
      </c>
      <c r="J30" s="152">
        <f>H30*I30</f>
        <v>6.5515877924833986E-3</v>
      </c>
      <c r="K30" s="148">
        <f>J30^2</f>
        <v>4.2923302602617492E-5</v>
      </c>
      <c r="L30" s="153">
        <f>J30^4/G30</f>
        <v>3.6848198126317389E-11</v>
      </c>
    </row>
    <row r="31" spans="2:12" x14ac:dyDescent="0.3">
      <c r="B31" s="154" t="s">
        <v>164</v>
      </c>
      <c r="C31" s="136" t="s">
        <v>11</v>
      </c>
      <c r="D31" s="145" t="s">
        <v>152</v>
      </c>
      <c r="E31" s="179">
        <f>'DB ECG'!H158</f>
        <v>7.2600000000000012E-2</v>
      </c>
      <c r="F31" s="156">
        <v>2</v>
      </c>
      <c r="G31" s="136">
        <v>50</v>
      </c>
      <c r="H31" s="147">
        <f>E31/F31</f>
        <v>3.6300000000000006E-2</v>
      </c>
      <c r="I31" s="136">
        <v>1</v>
      </c>
      <c r="J31" s="147">
        <f>H31*I31</f>
        <v>3.6300000000000006E-2</v>
      </c>
      <c r="K31" s="148">
        <f>J31^2</f>
        <v>1.3176900000000005E-3</v>
      </c>
      <c r="L31" s="153">
        <f>J31^4/G31</f>
        <v>3.4726138722000025E-8</v>
      </c>
    </row>
    <row r="32" spans="2:12" ht="14" x14ac:dyDescent="0.3">
      <c r="B32" s="157" t="s">
        <v>155</v>
      </c>
      <c r="C32" s="100"/>
      <c r="D32" s="100"/>
      <c r="E32" s="100"/>
      <c r="F32" s="158"/>
      <c r="G32" s="100"/>
      <c r="H32" s="100"/>
      <c r="I32" s="100"/>
      <c r="J32" s="100"/>
      <c r="K32" s="159">
        <f>SUM(K28:K31)</f>
        <v>8.4693946635935977E-2</v>
      </c>
      <c r="L32" s="160">
        <f>SUM(L28:L31)</f>
        <v>1.3892365187580911E-4</v>
      </c>
    </row>
    <row r="33" spans="2:12" ht="17" x14ac:dyDescent="0.45">
      <c r="B33" s="161" t="s">
        <v>156</v>
      </c>
      <c r="C33" s="162"/>
      <c r="D33" s="162"/>
      <c r="E33" s="162"/>
      <c r="F33" s="163"/>
      <c r="G33" s="162"/>
      <c r="H33" s="164" t="s">
        <v>165</v>
      </c>
      <c r="I33" s="162"/>
      <c r="J33" s="162"/>
      <c r="K33" s="165">
        <f>SQRT(K32)</f>
        <v>0.29102224422874617</v>
      </c>
      <c r="L33" s="166"/>
    </row>
    <row r="34" spans="2:12" ht="17.5" x14ac:dyDescent="0.45">
      <c r="B34" s="157" t="s">
        <v>157</v>
      </c>
      <c r="C34" s="167"/>
      <c r="D34" s="167"/>
      <c r="E34" s="167"/>
      <c r="F34" s="168"/>
      <c r="G34" s="167"/>
      <c r="H34" s="169" t="s">
        <v>166</v>
      </c>
      <c r="I34" s="167"/>
      <c r="J34" s="167"/>
      <c r="K34" s="170">
        <f>K33^4/(L32)</f>
        <v>51.633141656707522</v>
      </c>
      <c r="L34" s="171"/>
    </row>
    <row r="35" spans="2:12" ht="15.5" x14ac:dyDescent="0.35">
      <c r="B35" s="161" t="s">
        <v>167</v>
      </c>
      <c r="C35" s="162"/>
      <c r="D35" s="162"/>
      <c r="E35" s="162"/>
      <c r="F35" s="163"/>
      <c r="G35" s="162"/>
      <c r="H35" s="172" t="s">
        <v>158</v>
      </c>
      <c r="I35" s="162"/>
      <c r="J35" s="162"/>
      <c r="K35" s="173">
        <f>1.95996+(2.37356/K34)+(2.818745/K34^2)+(2.546662/K34^3)+(1.761829/K34^4)+(0.245458/K34^5)+(1.000764/K34^6)</f>
        <v>2.0070057496872051</v>
      </c>
      <c r="L35" s="166"/>
    </row>
    <row r="36" spans="2:12" ht="14.5" thickBot="1" x14ac:dyDescent="0.35">
      <c r="B36" s="180" t="s">
        <v>159</v>
      </c>
      <c r="C36" s="181"/>
      <c r="D36" s="181"/>
      <c r="E36" s="181"/>
      <c r="F36" s="182"/>
      <c r="G36" s="181"/>
      <c r="H36" s="183" t="s">
        <v>160</v>
      </c>
      <c r="I36" s="181"/>
      <c r="J36" s="181"/>
      <c r="K36" s="284">
        <f>K33*K35</f>
        <v>0.58408331745396758</v>
      </c>
      <c r="L36" s="285" t="s">
        <v>11</v>
      </c>
    </row>
    <row r="37" spans="2:12" ht="14" x14ac:dyDescent="0.3">
      <c r="B37" s="157"/>
      <c r="C37" s="167"/>
      <c r="D37" s="167"/>
      <c r="E37" s="167"/>
      <c r="F37" s="168"/>
      <c r="G37" s="167"/>
      <c r="H37" s="184"/>
      <c r="I37" s="167"/>
      <c r="J37" s="167"/>
      <c r="K37" s="286">
        <f>K36/120*100</f>
        <v>0.48673609787830635</v>
      </c>
      <c r="L37" s="287" t="s">
        <v>161</v>
      </c>
    </row>
    <row r="38" spans="2:12" ht="13.5" thickBot="1" x14ac:dyDescent="0.35">
      <c r="B38" s="129" t="s">
        <v>170</v>
      </c>
      <c r="C38" s="99"/>
      <c r="D38"/>
      <c r="E38" s="98"/>
      <c r="F38"/>
      <c r="G38"/>
      <c r="H38"/>
      <c r="I38"/>
      <c r="J38"/>
      <c r="K38"/>
      <c r="L38"/>
    </row>
    <row r="39" spans="2:12" ht="14" x14ac:dyDescent="0.3">
      <c r="B39" s="130" t="s">
        <v>141</v>
      </c>
      <c r="C39" s="131" t="s">
        <v>142</v>
      </c>
      <c r="D39" s="132" t="s">
        <v>143</v>
      </c>
      <c r="E39" s="131" t="s">
        <v>144</v>
      </c>
      <c r="F39" s="133" t="s">
        <v>145</v>
      </c>
      <c r="G39" s="131" t="s">
        <v>146</v>
      </c>
      <c r="H39" s="132" t="s">
        <v>147</v>
      </c>
      <c r="I39" s="131" t="s">
        <v>148</v>
      </c>
      <c r="J39" s="132" t="s">
        <v>140</v>
      </c>
      <c r="K39" s="131" t="s">
        <v>149</v>
      </c>
      <c r="L39" s="134" t="s">
        <v>150</v>
      </c>
    </row>
    <row r="40" spans="2:12" x14ac:dyDescent="0.3">
      <c r="B40" s="135" t="s">
        <v>151</v>
      </c>
      <c r="C40" s="136" t="s">
        <v>11</v>
      </c>
      <c r="D40" s="137" t="s">
        <v>152</v>
      </c>
      <c r="E40" s="138">
        <f>STDEV(ID!E40:J40)</f>
        <v>0</v>
      </c>
      <c r="F40" s="139">
        <f>SQRT(6)</f>
        <v>2.4494897427831779</v>
      </c>
      <c r="G40" s="136">
        <v>5</v>
      </c>
      <c r="H40" s="140">
        <f>E40/F40</f>
        <v>0</v>
      </c>
      <c r="I40" s="141">
        <v>1</v>
      </c>
      <c r="J40" s="140">
        <f>H40*I40</f>
        <v>0</v>
      </c>
      <c r="K40" s="142">
        <f>J40^2</f>
        <v>0</v>
      </c>
      <c r="L40" s="143">
        <f>J40^4/G40</f>
        <v>0</v>
      </c>
    </row>
    <row r="41" spans="2:12" x14ac:dyDescent="0.3">
      <c r="B41" s="144" t="s">
        <v>153</v>
      </c>
      <c r="C41" s="136" t="s">
        <v>11</v>
      </c>
      <c r="D41" s="145" t="s">
        <v>154</v>
      </c>
      <c r="E41" s="186">
        <f>E5</f>
        <v>0.5</v>
      </c>
      <c r="F41" s="146">
        <f>SQRT(3)</f>
        <v>1.7320508075688772</v>
      </c>
      <c r="G41" s="136">
        <v>50</v>
      </c>
      <c r="H41" s="147">
        <f>E41/F41</f>
        <v>0.28867513459481292</v>
      </c>
      <c r="I41" s="136">
        <v>1</v>
      </c>
      <c r="J41" s="147">
        <f>H41*I41</f>
        <v>0.28867513459481292</v>
      </c>
      <c r="K41" s="148">
        <f>J41^2</f>
        <v>8.3333333333333356E-2</v>
      </c>
      <c r="L41" s="149">
        <f>J41^4/G41</f>
        <v>1.3888888888888897E-4</v>
      </c>
    </row>
    <row r="42" spans="2:12" x14ac:dyDescent="0.3">
      <c r="B42" s="150" t="s">
        <v>163</v>
      </c>
      <c r="C42" s="136" t="s">
        <v>11</v>
      </c>
      <c r="D42" s="136" t="s">
        <v>154</v>
      </c>
      <c r="E42" s="187">
        <f>'DB ECG'!J159</f>
        <v>1.7930853658536583E-2</v>
      </c>
      <c r="F42" s="151">
        <f>SQRT(3)</f>
        <v>1.7320508075688772</v>
      </c>
      <c r="G42" s="136">
        <v>50</v>
      </c>
      <c r="H42" s="152">
        <f>E42/F42</f>
        <v>1.0352383186555883E-2</v>
      </c>
      <c r="I42" s="136">
        <v>1</v>
      </c>
      <c r="J42" s="152">
        <f>H42*I42</f>
        <v>1.0352383186555883E-2</v>
      </c>
      <c r="K42" s="148">
        <f>J42^2</f>
        <v>1.0717183764128494E-4</v>
      </c>
      <c r="L42" s="153">
        <f>J42^4/G42</f>
        <v>2.2971605566819879E-10</v>
      </c>
    </row>
    <row r="43" spans="2:12" x14ac:dyDescent="0.3">
      <c r="B43" s="154" t="s">
        <v>164</v>
      </c>
      <c r="C43" s="136" t="s">
        <v>11</v>
      </c>
      <c r="D43" s="145" t="s">
        <v>152</v>
      </c>
      <c r="E43" s="179">
        <f>'DB ECG'!H159</f>
        <v>0.1086</v>
      </c>
      <c r="F43" s="156">
        <v>2</v>
      </c>
      <c r="G43" s="136">
        <v>50</v>
      </c>
      <c r="H43" s="147">
        <f>E43/F43</f>
        <v>5.4300000000000001E-2</v>
      </c>
      <c r="I43" s="136">
        <v>1</v>
      </c>
      <c r="J43" s="147">
        <f>H43*I43</f>
        <v>5.4300000000000001E-2</v>
      </c>
      <c r="K43" s="148">
        <f>J43^2</f>
        <v>2.9484900000000002E-3</v>
      </c>
      <c r="L43" s="153">
        <f>J43^4/G43</f>
        <v>1.7387186560200002E-7</v>
      </c>
    </row>
    <row r="44" spans="2:12" ht="14" x14ac:dyDescent="0.3">
      <c r="B44" s="157" t="s">
        <v>155</v>
      </c>
      <c r="C44" s="100"/>
      <c r="D44" s="100"/>
      <c r="E44" s="100"/>
      <c r="F44" s="158"/>
      <c r="G44" s="100"/>
      <c r="H44" s="100"/>
      <c r="I44" s="100"/>
      <c r="J44" s="100"/>
      <c r="K44" s="159">
        <f>SUM(K40:K43)</f>
        <v>8.6388995170974633E-2</v>
      </c>
      <c r="L44" s="160">
        <f>SUM(L40:L43)</f>
        <v>1.3906299047054664E-4</v>
      </c>
    </row>
    <row r="45" spans="2:12" ht="17" x14ac:dyDescent="0.45">
      <c r="B45" s="161" t="s">
        <v>156</v>
      </c>
      <c r="C45" s="162"/>
      <c r="D45" s="162"/>
      <c r="E45" s="162"/>
      <c r="F45" s="163"/>
      <c r="G45" s="162"/>
      <c r="H45" s="164" t="s">
        <v>165</v>
      </c>
      <c r="I45" s="162"/>
      <c r="J45" s="162"/>
      <c r="K45" s="165">
        <f>SQRT(K44)</f>
        <v>0.29392004894354284</v>
      </c>
      <c r="L45" s="166"/>
    </row>
    <row r="46" spans="2:12" ht="17.5" x14ac:dyDescent="0.45">
      <c r="B46" s="157" t="s">
        <v>157</v>
      </c>
      <c r="C46" s="167"/>
      <c r="D46" s="167"/>
      <c r="E46" s="167"/>
      <c r="F46" s="168"/>
      <c r="G46" s="167"/>
      <c r="H46" s="169" t="s">
        <v>166</v>
      </c>
      <c r="I46" s="167"/>
      <c r="J46" s="167"/>
      <c r="K46" s="170">
        <f>K45^4/(L44)</f>
        <v>53.666748150589662</v>
      </c>
      <c r="L46" s="171"/>
    </row>
    <row r="47" spans="2:12" ht="15.5" x14ac:dyDescent="0.35">
      <c r="B47" s="161" t="s">
        <v>167</v>
      </c>
      <c r="C47" s="162"/>
      <c r="D47" s="162"/>
      <c r="E47" s="162"/>
      <c r="F47" s="163"/>
      <c r="G47" s="162"/>
      <c r="H47" s="172" t="s">
        <v>158</v>
      </c>
      <c r="I47" s="162"/>
      <c r="J47" s="162"/>
      <c r="K47" s="173">
        <f>1.95996+(2.37356/K46)+(2.818745/K46^2)+(2.546662/K46^3)+(1.761829/K46^4)+(0.245458/K46^5)+(1.000764/K46^6)</f>
        <v>2.00518313823421</v>
      </c>
      <c r="L47" s="166"/>
    </row>
    <row r="48" spans="2:12" ht="14.5" thickBot="1" x14ac:dyDescent="0.35">
      <c r="B48" s="180" t="s">
        <v>159</v>
      </c>
      <c r="C48" s="181"/>
      <c r="D48" s="181"/>
      <c r="E48" s="181"/>
      <c r="F48" s="182"/>
      <c r="G48" s="181"/>
      <c r="H48" s="183" t="s">
        <v>160</v>
      </c>
      <c r="I48" s="181"/>
      <c r="J48" s="181"/>
      <c r="K48" s="284">
        <f>K45*K47</f>
        <v>0.58936352613056586</v>
      </c>
      <c r="L48" s="285" t="s">
        <v>11</v>
      </c>
    </row>
    <row r="49" spans="2:12" ht="14.5" x14ac:dyDescent="0.35">
      <c r="K49" s="288">
        <f>K48/180*100</f>
        <v>0.32742418118364769</v>
      </c>
      <c r="L49" s="289" t="s">
        <v>161</v>
      </c>
    </row>
    <row r="51" spans="2:12" ht="13.5" thickBot="1" x14ac:dyDescent="0.35">
      <c r="B51" s="129" t="s">
        <v>171</v>
      </c>
      <c r="C51" s="99"/>
      <c r="D51"/>
      <c r="E51" s="98"/>
      <c r="F51"/>
      <c r="G51"/>
      <c r="H51"/>
      <c r="I51"/>
      <c r="J51"/>
      <c r="K51"/>
      <c r="L51"/>
    </row>
    <row r="52" spans="2:12" ht="14" x14ac:dyDescent="0.3">
      <c r="B52" s="130" t="s">
        <v>141</v>
      </c>
      <c r="C52" s="131" t="s">
        <v>142</v>
      </c>
      <c r="D52" s="132" t="s">
        <v>143</v>
      </c>
      <c r="E52" s="131" t="s">
        <v>144</v>
      </c>
      <c r="F52" s="133" t="s">
        <v>145</v>
      </c>
      <c r="G52" s="131" t="s">
        <v>146</v>
      </c>
      <c r="H52" s="132" t="s">
        <v>147</v>
      </c>
      <c r="I52" s="131" t="s">
        <v>148</v>
      </c>
      <c r="J52" s="132" t="s">
        <v>140</v>
      </c>
      <c r="K52" s="131" t="s">
        <v>149</v>
      </c>
      <c r="L52" s="134" t="s">
        <v>150</v>
      </c>
    </row>
    <row r="53" spans="2:12" x14ac:dyDescent="0.3">
      <c r="B53" s="135" t="s">
        <v>151</v>
      </c>
      <c r="C53" s="136" t="s">
        <v>11</v>
      </c>
      <c r="D53" s="137" t="s">
        <v>152</v>
      </c>
      <c r="E53" s="138">
        <f>STDEV(ID!E41:J41)</f>
        <v>0</v>
      </c>
      <c r="F53" s="139">
        <f>SQRT(6)</f>
        <v>2.4494897427831779</v>
      </c>
      <c r="G53" s="136">
        <v>5</v>
      </c>
      <c r="H53" s="140">
        <f>E53/F53</f>
        <v>0</v>
      </c>
      <c r="I53" s="141">
        <v>1</v>
      </c>
      <c r="J53" s="140">
        <f>H53*I53</f>
        <v>0</v>
      </c>
      <c r="K53" s="142">
        <f>J53^2</f>
        <v>0</v>
      </c>
      <c r="L53" s="143">
        <f>J53^4/G53</f>
        <v>0</v>
      </c>
    </row>
    <row r="54" spans="2:12" x14ac:dyDescent="0.3">
      <c r="B54" s="144" t="s">
        <v>153</v>
      </c>
      <c r="C54" s="136" t="s">
        <v>11</v>
      </c>
      <c r="D54" s="145" t="s">
        <v>154</v>
      </c>
      <c r="E54" s="186">
        <f>E5</f>
        <v>0.5</v>
      </c>
      <c r="F54" s="146">
        <f>SQRT(3)</f>
        <v>1.7320508075688772</v>
      </c>
      <c r="G54" s="136">
        <v>50</v>
      </c>
      <c r="H54" s="147">
        <f>E54/F54</f>
        <v>0.28867513459481292</v>
      </c>
      <c r="I54" s="136">
        <v>1</v>
      </c>
      <c r="J54" s="147">
        <f>H54*I54</f>
        <v>0.28867513459481292</v>
      </c>
      <c r="K54" s="148">
        <f>J54^2</f>
        <v>8.3333333333333356E-2</v>
      </c>
      <c r="L54" s="149">
        <f>J54^4/G54</f>
        <v>1.3888888888888897E-4</v>
      </c>
    </row>
    <row r="55" spans="2:12" x14ac:dyDescent="0.3">
      <c r="B55" s="150" t="s">
        <v>163</v>
      </c>
      <c r="C55" s="136" t="s">
        <v>11</v>
      </c>
      <c r="D55" s="136" t="s">
        <v>154</v>
      </c>
      <c r="E55" s="152">
        <f>'DB ECG'!J160</f>
        <v>2.4514024202917907E-2</v>
      </c>
      <c r="F55" s="151">
        <f>SQRT(3)</f>
        <v>1.7320508075688772</v>
      </c>
      <c r="G55" s="136">
        <v>50</v>
      </c>
      <c r="H55" s="152">
        <f>E55/F55</f>
        <v>1.4153178472475656E-2</v>
      </c>
      <c r="I55" s="136">
        <v>1</v>
      </c>
      <c r="J55" s="152">
        <f>H55*I55</f>
        <v>1.4153178472475656E-2</v>
      </c>
      <c r="K55" s="148">
        <f>J55^2</f>
        <v>2.0031246087374836E-4</v>
      </c>
      <c r="L55" s="153">
        <f>J55^4/G55</f>
        <v>8.0250163962593935E-10</v>
      </c>
    </row>
    <row r="56" spans="2:12" x14ac:dyDescent="0.3">
      <c r="B56" s="154" t="s">
        <v>164</v>
      </c>
      <c r="C56" s="136" t="s">
        <v>11</v>
      </c>
      <c r="D56" s="145" t="s">
        <v>152</v>
      </c>
      <c r="E56" s="155">
        <f>'DB ECG'!H160</f>
        <v>0.14459999897560977</v>
      </c>
      <c r="F56" s="156">
        <v>2</v>
      </c>
      <c r="G56" s="136">
        <v>50</v>
      </c>
      <c r="H56" s="147">
        <f>E56/F56</f>
        <v>7.2299999487804884E-2</v>
      </c>
      <c r="I56" s="136">
        <v>1</v>
      </c>
      <c r="J56" s="147">
        <f>H56*I56</f>
        <v>7.2299999487804884E-2</v>
      </c>
      <c r="K56" s="148">
        <f>J56^2</f>
        <v>5.2272899259365865E-3</v>
      </c>
      <c r="L56" s="153">
        <f>J56^4/G56</f>
        <v>5.4649119939596252E-7</v>
      </c>
    </row>
    <row r="57" spans="2:12" ht="14" x14ac:dyDescent="0.3">
      <c r="B57" s="157" t="s">
        <v>155</v>
      </c>
      <c r="C57" s="100"/>
      <c r="D57" s="100"/>
      <c r="E57" s="100"/>
      <c r="F57" s="158"/>
      <c r="G57" s="100"/>
      <c r="H57" s="100"/>
      <c r="I57" s="100"/>
      <c r="J57" s="100"/>
      <c r="K57" s="159">
        <f>SUM(K53:K56)</f>
        <v>8.8760935720143694E-2</v>
      </c>
      <c r="L57" s="160">
        <f>SUM(L53:L56)</f>
        <v>1.3943618258992457E-4</v>
      </c>
    </row>
    <row r="58" spans="2:12" ht="17" x14ac:dyDescent="0.45">
      <c r="B58" s="161" t="s">
        <v>156</v>
      </c>
      <c r="C58" s="162"/>
      <c r="D58" s="162"/>
      <c r="E58" s="162"/>
      <c r="F58" s="163"/>
      <c r="G58" s="162"/>
      <c r="H58" s="164" t="s">
        <v>165</v>
      </c>
      <c r="I58" s="162"/>
      <c r="J58" s="162"/>
      <c r="K58" s="165">
        <f>SQRT(K57)</f>
        <v>0.29792773573493236</v>
      </c>
      <c r="L58" s="166"/>
    </row>
    <row r="59" spans="2:12" ht="17.5" x14ac:dyDescent="0.45">
      <c r="B59" s="157" t="s">
        <v>157</v>
      </c>
      <c r="C59" s="167"/>
      <c r="D59" s="167"/>
      <c r="E59" s="167"/>
      <c r="F59" s="168"/>
      <c r="G59" s="167"/>
      <c r="H59" s="169" t="s">
        <v>166</v>
      </c>
      <c r="I59" s="167"/>
      <c r="J59" s="167"/>
      <c r="K59" s="170">
        <f>K58^4/(L57)</f>
        <v>56.502577477223397</v>
      </c>
      <c r="L59" s="171"/>
    </row>
    <row r="60" spans="2:12" ht="15.5" x14ac:dyDescent="0.35">
      <c r="B60" s="161" t="s">
        <v>167</v>
      </c>
      <c r="C60" s="162"/>
      <c r="D60" s="162"/>
      <c r="E60" s="162"/>
      <c r="F60" s="163"/>
      <c r="G60" s="162"/>
      <c r="H60" s="172" t="s">
        <v>158</v>
      </c>
      <c r="I60" s="162"/>
      <c r="J60" s="162"/>
      <c r="K60" s="173">
        <f>1.95996+(2.37356/K59)+(2.818745/K59^2)+(2.546662/K59^3)+(1.761829/K59^4)+(0.245458/K59^5)+(1.000764/K59^6)</f>
        <v>2.002865202000073</v>
      </c>
      <c r="L60" s="166"/>
    </row>
    <row r="61" spans="2:12" ht="14.5" thickBot="1" x14ac:dyDescent="0.35">
      <c r="B61" s="180" t="s">
        <v>159</v>
      </c>
      <c r="C61" s="181"/>
      <c r="D61" s="181"/>
      <c r="E61" s="181"/>
      <c r="F61" s="182"/>
      <c r="G61" s="181"/>
      <c r="H61" s="183" t="s">
        <v>160</v>
      </c>
      <c r="I61" s="181"/>
      <c r="J61" s="181"/>
      <c r="K61" s="284">
        <f>K58*K60</f>
        <v>0.59670909461416966</v>
      </c>
      <c r="L61" s="285" t="s">
        <v>11</v>
      </c>
    </row>
    <row r="62" spans="2:12" ht="14.5" x14ac:dyDescent="0.35">
      <c r="K62" s="288">
        <f>(K61/240)*100</f>
        <v>0.24862878942257066</v>
      </c>
      <c r="L62" s="289" t="s">
        <v>161</v>
      </c>
    </row>
  </sheetData>
  <mergeCells count="1">
    <mergeCell ref="B1:L1"/>
  </mergeCells>
  <printOptions horizontalCentered="1"/>
  <pageMargins left="0.5" right="0.25" top="0.75" bottom="0.25" header="0.25" footer="0.25"/>
  <pageSetup paperSize="9" scale="70" orientation="portrait" horizontalDpi="4294967294" r:id="rId1"/>
  <headerFooter>
    <oddHeader>&amp;R&amp;"-,Regular"&amp;8KL.UB -16 / REV : 0</oddHeader>
    <oddFooter>&amp;C&amp;8&amp;K00-023
&amp;R&amp;8Page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AJ83"/>
  <sheetViews>
    <sheetView showGridLines="0" view="pageBreakPreview" topLeftCell="A30" zoomScaleNormal="100" zoomScaleSheetLayoutView="100" workbookViewId="0">
      <selection activeCell="K35" sqref="K35:L35"/>
    </sheetView>
  </sheetViews>
  <sheetFormatPr defaultColWidth="9.1796875" defaultRowHeight="15.5" x14ac:dyDescent="0.25"/>
  <cols>
    <col min="1" max="1" width="5" style="2" customWidth="1"/>
    <col min="2" max="2" width="9.54296875" style="2" customWidth="1"/>
    <col min="3" max="3" width="10.81640625" style="2" customWidth="1"/>
    <col min="4" max="4" width="1.7265625" style="2" customWidth="1"/>
    <col min="5" max="5" width="20.7265625" style="2" customWidth="1"/>
    <col min="6" max="6" width="5.81640625" style="2" customWidth="1"/>
    <col min="7" max="7" width="7.1796875" style="2" customWidth="1"/>
    <col min="8" max="8" width="9.7265625" style="2" customWidth="1"/>
    <col min="9" max="9" width="11.1796875" style="2" customWidth="1"/>
    <col min="10" max="10" width="11.81640625" style="2" customWidth="1"/>
    <col min="11" max="11" width="10.26953125" style="2" customWidth="1"/>
    <col min="12" max="12" width="7" style="2" customWidth="1"/>
    <col min="13" max="13" width="10.54296875" style="2" bestFit="1" customWidth="1"/>
    <col min="14" max="14" width="12" style="2" customWidth="1"/>
    <col min="15" max="15" width="9.26953125" style="2" customWidth="1"/>
    <col min="16" max="17" width="11.453125" style="2" bestFit="1" customWidth="1"/>
    <col min="18" max="18" width="8.7265625" style="2" customWidth="1"/>
    <col min="19" max="19" width="9.1796875" style="2"/>
    <col min="20" max="20" width="9.453125" style="2" bestFit="1" customWidth="1"/>
    <col min="21" max="16384" width="9.1796875" style="2"/>
  </cols>
  <sheetData>
    <row r="1" spans="1:31" ht="18.5" x14ac:dyDescent="0.25">
      <c r="A1" s="873" t="s">
        <v>376</v>
      </c>
      <c r="B1" s="873"/>
      <c r="C1" s="873"/>
      <c r="D1" s="873"/>
      <c r="E1" s="873"/>
      <c r="F1" s="873"/>
      <c r="G1" s="873"/>
      <c r="H1" s="873"/>
      <c r="I1" s="873"/>
      <c r="J1" s="873"/>
      <c r="K1" s="873"/>
      <c r="L1" s="873"/>
      <c r="M1" s="873"/>
      <c r="N1" s="873"/>
      <c r="O1" s="245"/>
      <c r="P1" s="321"/>
      <c r="Q1" s="321"/>
      <c r="R1" s="321"/>
    </row>
    <row r="2" spans="1:31" ht="17" x14ac:dyDescent="0.25">
      <c r="A2" s="874" t="str">
        <f>ID!E2&amp;ID!Q1&amp;ID!I2</f>
        <v>Nomor Sertifikat : 27 / 1 / VIII - 22 / E - 008.27 DL</v>
      </c>
      <c r="B2" s="874"/>
      <c r="C2" s="874"/>
      <c r="D2" s="874"/>
      <c r="E2" s="874"/>
      <c r="F2" s="874"/>
      <c r="G2" s="874"/>
      <c r="H2" s="874"/>
      <c r="I2" s="874"/>
      <c r="J2" s="874"/>
      <c r="K2" s="874"/>
      <c r="L2" s="874"/>
      <c r="M2" s="874"/>
      <c r="N2" s="874"/>
      <c r="O2" s="246"/>
      <c r="P2" s="322"/>
      <c r="Q2" s="322"/>
      <c r="R2" s="322"/>
    </row>
    <row r="3" spans="1:31" x14ac:dyDescent="0.25">
      <c r="A3" s="209"/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</row>
    <row r="4" spans="1:31" x14ac:dyDescent="0.25">
      <c r="A4" s="209" t="str">
        <f>ID!A4</f>
        <v xml:space="preserve">Merek </v>
      </c>
      <c r="B4" s="209"/>
      <c r="C4" s="209"/>
      <c r="D4" s="227" t="str">
        <f>ID!D4</f>
        <v>:</v>
      </c>
      <c r="E4" s="228" t="str">
        <f>ID!E4</f>
        <v>-</v>
      </c>
      <c r="F4" s="209"/>
      <c r="G4" s="209"/>
      <c r="H4" s="209"/>
      <c r="I4" s="209"/>
      <c r="J4" s="209"/>
      <c r="K4" s="209"/>
      <c r="L4" s="209"/>
      <c r="M4" s="209"/>
      <c r="N4" s="209"/>
    </row>
    <row r="5" spans="1:31" x14ac:dyDescent="0.25">
      <c r="A5" s="209" t="str">
        <f>ID!A5</f>
        <v>Model/Tipe</v>
      </c>
      <c r="B5" s="209"/>
      <c r="C5" s="209"/>
      <c r="D5" s="227" t="str">
        <f>ID!D5</f>
        <v>:</v>
      </c>
      <c r="E5" s="228" t="str">
        <f>ID!E5</f>
        <v>-</v>
      </c>
      <c r="F5" s="209"/>
      <c r="G5" s="209"/>
      <c r="H5" s="209"/>
      <c r="I5" s="209"/>
      <c r="J5" s="209"/>
      <c r="K5" s="209"/>
      <c r="L5" s="209"/>
      <c r="M5" s="209"/>
      <c r="N5" s="209"/>
    </row>
    <row r="6" spans="1:31" x14ac:dyDescent="0.25">
      <c r="A6" s="209" t="str">
        <f>ID!A6</f>
        <v>Nomor Seri</v>
      </c>
      <c r="B6" s="209"/>
      <c r="C6" s="209"/>
      <c r="D6" s="227" t="str">
        <f>ID!D6</f>
        <v>:</v>
      </c>
      <c r="E6" s="228" t="str">
        <f>ID!E6</f>
        <v>-</v>
      </c>
      <c r="F6" s="209"/>
      <c r="G6" s="209"/>
      <c r="H6" s="209"/>
      <c r="I6" s="209"/>
      <c r="J6" s="209"/>
      <c r="K6" s="209"/>
      <c r="L6" s="209"/>
      <c r="M6" s="209"/>
      <c r="N6" s="209"/>
    </row>
    <row r="7" spans="1:31" hidden="1" x14ac:dyDescent="0.25">
      <c r="A7" s="209" t="str">
        <f>ID!A7</f>
        <v>Resolusi</v>
      </c>
      <c r="B7" s="209"/>
      <c r="C7" s="209"/>
      <c r="D7" s="227" t="str">
        <f>ID!D7</f>
        <v>:</v>
      </c>
      <c r="E7" s="228" t="e">
        <f>ID!#REF!</f>
        <v>#REF!</v>
      </c>
      <c r="F7" s="209" t="e">
        <f>ID!#REF!</f>
        <v>#REF!</v>
      </c>
      <c r="G7" s="209"/>
      <c r="H7" s="209"/>
      <c r="I7" s="209"/>
      <c r="J7" s="209"/>
      <c r="K7" s="209"/>
      <c r="L7" s="209"/>
      <c r="M7" s="209"/>
      <c r="N7" s="209"/>
    </row>
    <row r="8" spans="1:31" hidden="1" x14ac:dyDescent="0.25">
      <c r="A8" s="209"/>
      <c r="B8" s="209"/>
      <c r="C8" s="209"/>
      <c r="D8" s="227"/>
      <c r="E8" s="228">
        <f>ID!E7</f>
        <v>1</v>
      </c>
      <c r="F8" s="209" t="str">
        <f>ID!F7</f>
        <v>BPM</v>
      </c>
      <c r="G8" s="209"/>
      <c r="H8" s="209"/>
      <c r="I8" s="209"/>
      <c r="J8" s="209"/>
      <c r="K8" s="209"/>
      <c r="L8" s="209"/>
      <c r="M8" s="209"/>
      <c r="N8" s="209"/>
    </row>
    <row r="9" spans="1:31" x14ac:dyDescent="0.25">
      <c r="A9" s="209" t="str">
        <f>ID!A8</f>
        <v>Tanggal Penerimaan Alat</v>
      </c>
      <c r="B9" s="209"/>
      <c r="C9" s="209"/>
      <c r="D9" s="227" t="str">
        <f>ID!D8</f>
        <v>:</v>
      </c>
      <c r="E9" s="645" t="str">
        <f>ID!E8</f>
        <v>-</v>
      </c>
      <c r="F9" s="209"/>
      <c r="G9" s="209"/>
      <c r="H9" s="209"/>
      <c r="I9" s="209"/>
      <c r="J9" s="209"/>
      <c r="K9" s="209"/>
      <c r="L9" s="209"/>
      <c r="M9" s="209"/>
      <c r="N9" s="209"/>
    </row>
    <row r="10" spans="1:31" x14ac:dyDescent="0.25">
      <c r="A10" s="209" t="str">
        <f>ID!A9</f>
        <v>Tanggal Kalibrasi</v>
      </c>
      <c r="B10" s="209"/>
      <c r="C10" s="209"/>
      <c r="D10" s="227" t="str">
        <f>ID!D9</f>
        <v>:</v>
      </c>
      <c r="E10" s="645" t="str">
        <f>ID!E9</f>
        <v>-</v>
      </c>
      <c r="F10" s="209"/>
      <c r="G10" s="209"/>
      <c r="H10" s="209"/>
      <c r="I10" s="209"/>
      <c r="J10" s="209"/>
      <c r="K10" s="209"/>
      <c r="L10" s="209"/>
      <c r="M10" s="209"/>
      <c r="N10" s="209"/>
    </row>
    <row r="11" spans="1:31" x14ac:dyDescent="0.25">
      <c r="A11" s="209" t="str">
        <f>ID!A10</f>
        <v>Tempat Kalibrasi</v>
      </c>
      <c r="B11" s="209"/>
      <c r="C11" s="209"/>
      <c r="D11" s="227" t="str">
        <f>ID!D10</f>
        <v>:</v>
      </c>
      <c r="E11" s="228" t="str">
        <f>ID!E10</f>
        <v>-</v>
      </c>
      <c r="F11" s="209"/>
      <c r="G11" s="209"/>
      <c r="H11" s="209"/>
      <c r="I11" s="209"/>
      <c r="J11" s="209"/>
      <c r="K11" s="209"/>
      <c r="L11" s="209"/>
      <c r="M11" s="209"/>
      <c r="N11" s="209"/>
    </row>
    <row r="12" spans="1:31" x14ac:dyDescent="0.25">
      <c r="A12" s="209" t="str">
        <f>ID!A11</f>
        <v>Nama Ruang</v>
      </c>
      <c r="B12" s="209"/>
      <c r="C12" s="209"/>
      <c r="D12" s="227" t="str">
        <f>ID!D11</f>
        <v>:</v>
      </c>
      <c r="E12" s="228" t="str">
        <f>ID!E11</f>
        <v>-</v>
      </c>
      <c r="F12" s="209"/>
      <c r="G12" s="209"/>
      <c r="H12" s="209"/>
      <c r="I12" s="209"/>
      <c r="J12" s="209"/>
      <c r="K12" s="209"/>
      <c r="L12" s="209"/>
      <c r="M12" s="209"/>
      <c r="N12" s="209"/>
    </row>
    <row r="13" spans="1:31" x14ac:dyDescent="0.25">
      <c r="A13" s="209" t="str">
        <f>ID!A12</f>
        <v>Metode Kerja</v>
      </c>
      <c r="B13" s="209"/>
      <c r="C13" s="209"/>
      <c r="D13" s="227" t="str">
        <f>ID!D12</f>
        <v>:</v>
      </c>
      <c r="E13" s="228" t="str">
        <f>ID!E12</f>
        <v>KL.MK -16</v>
      </c>
      <c r="F13" s="209"/>
      <c r="G13" s="209"/>
      <c r="H13" s="209"/>
      <c r="I13" s="209"/>
      <c r="J13" s="209"/>
      <c r="K13" s="209"/>
      <c r="L13" s="209"/>
      <c r="M13" s="209"/>
      <c r="N13" s="209"/>
    </row>
    <row r="14" spans="1:31" ht="9.75" customHeight="1" x14ac:dyDescent="0.25">
      <c r="A14" s="209"/>
      <c r="B14" s="209"/>
      <c r="C14" s="209"/>
      <c r="D14" s="209"/>
      <c r="E14" s="209"/>
      <c r="F14" s="209"/>
      <c r="G14" s="209"/>
      <c r="H14" s="209"/>
      <c r="I14" s="209"/>
      <c r="J14" s="209"/>
      <c r="K14" s="209"/>
      <c r="L14" s="209"/>
      <c r="M14" s="209"/>
      <c r="N14" s="209"/>
    </row>
    <row r="15" spans="1:31" x14ac:dyDescent="0.25">
      <c r="A15" s="212" t="s">
        <v>18</v>
      </c>
      <c r="B15" s="212" t="s">
        <v>19</v>
      </c>
      <c r="C15" s="212"/>
      <c r="D15" s="209"/>
      <c r="E15" s="209"/>
      <c r="F15" s="209"/>
      <c r="G15" s="209"/>
      <c r="H15" s="212"/>
      <c r="I15" s="212"/>
      <c r="J15" s="212"/>
      <c r="K15" s="212"/>
      <c r="L15" s="212"/>
      <c r="M15" s="212"/>
      <c r="N15" s="212"/>
    </row>
    <row r="16" spans="1:31" ht="14.15" customHeight="1" x14ac:dyDescent="0.25">
      <c r="A16" s="209"/>
      <c r="B16" s="209" t="str">
        <f>ID!B16</f>
        <v xml:space="preserve">1. Suhu </v>
      </c>
      <c r="C16" s="209"/>
      <c r="D16" s="209" t="s">
        <v>7</v>
      </c>
      <c r="E16" s="543" t="str">
        <f>'DB Thermohygro'!T381</f>
        <v>( 18.4 ± 0.4 ) °C</v>
      </c>
      <c r="F16" s="209"/>
      <c r="G16" s="209"/>
      <c r="H16" s="209"/>
      <c r="I16" s="209"/>
      <c r="J16" s="209"/>
      <c r="K16" s="209"/>
      <c r="L16" s="209"/>
      <c r="M16" s="209"/>
      <c r="N16" s="209"/>
      <c r="W16" s="866" t="str">
        <f>IF(ID!E18="-",PENYELIA!W17,IF(K26="-",W18,IF(OR(K28="-",Q20=T28),W21,IF(OR(T22&gt;U22,C28=W29),"",IF(K28&gt;L28,W22,"")))))</f>
        <v>Tidak dilakukan pengukuran kelistrikan dikarenakan alat tidak boleh di matikan</v>
      </c>
      <c r="X16" s="866"/>
      <c r="Y16" s="866"/>
      <c r="Z16" s="866"/>
      <c r="AA16" s="866"/>
      <c r="AB16" s="866"/>
      <c r="AC16" s="866"/>
      <c r="AD16" s="866"/>
      <c r="AE16" s="866"/>
    </row>
    <row r="17" spans="1:36" ht="14.15" customHeight="1" x14ac:dyDescent="0.25">
      <c r="A17" s="209"/>
      <c r="B17" s="209" t="str">
        <f>ID!B17</f>
        <v>2. Kelembaban</v>
      </c>
      <c r="C17" s="209"/>
      <c r="D17" s="209" t="s">
        <v>7</v>
      </c>
      <c r="E17" s="543" t="str">
        <f>'DB Thermohygro'!T382</f>
        <v>( 60.1 ± 2.2 ) %RH</v>
      </c>
      <c r="F17" s="247"/>
      <c r="G17" s="247"/>
      <c r="H17" s="209"/>
      <c r="I17" s="209"/>
      <c r="J17" s="209"/>
      <c r="K17" s="209"/>
      <c r="L17" s="209"/>
      <c r="M17" s="209"/>
      <c r="N17" s="209"/>
      <c r="W17" s="916" t="s">
        <v>377</v>
      </c>
      <c r="X17" s="916"/>
      <c r="Y17" s="916"/>
      <c r="Z17" s="916"/>
      <c r="AA17" s="916"/>
      <c r="AB17" s="916"/>
      <c r="AC17" s="916"/>
      <c r="AD17" s="916"/>
      <c r="AE17" s="916"/>
    </row>
    <row r="18" spans="1:36" ht="14.15" customHeight="1" x14ac:dyDescent="0.25">
      <c r="A18" s="209"/>
      <c r="B18" s="209" t="str">
        <f>ID!B18</f>
        <v>3. Tegangan Jala-jala</v>
      </c>
      <c r="C18" s="209"/>
      <c r="D18" s="209" t="s">
        <v>7</v>
      </c>
      <c r="E18" s="369" t="str">
        <f>'DB ESA'!H274</f>
        <v>( 219.8 ± 2.6 ) Volt</v>
      </c>
      <c r="F18" s="369"/>
      <c r="G18" s="209"/>
      <c r="H18" s="209"/>
      <c r="I18" s="209"/>
      <c r="J18" s="209"/>
      <c r="K18" s="209"/>
      <c r="L18" s="209"/>
      <c r="M18" s="209"/>
      <c r="N18" s="209"/>
      <c r="W18" s="916" t="s">
        <v>378</v>
      </c>
      <c r="X18" s="916"/>
      <c r="Y18" s="916"/>
      <c r="Z18" s="916"/>
      <c r="AA18" s="916"/>
      <c r="AB18" s="916"/>
      <c r="AC18" s="916"/>
      <c r="AD18" s="916"/>
      <c r="AE18" s="916"/>
    </row>
    <row r="19" spans="1:36" ht="4.5" customHeight="1" x14ac:dyDescent="0.25">
      <c r="A19" s="209"/>
      <c r="B19" s="209"/>
      <c r="C19" s="209"/>
      <c r="D19" s="209"/>
      <c r="E19" s="209"/>
      <c r="F19" s="209"/>
      <c r="G19" s="209"/>
      <c r="H19" s="209"/>
      <c r="I19" s="209"/>
      <c r="J19" s="209"/>
      <c r="M19" s="209"/>
      <c r="N19" s="209"/>
    </row>
    <row r="20" spans="1:36" x14ac:dyDescent="0.25">
      <c r="A20" s="212" t="s">
        <v>27</v>
      </c>
      <c r="B20" s="212" t="s">
        <v>172</v>
      </c>
      <c r="C20" s="212"/>
      <c r="D20" s="209"/>
      <c r="E20" s="209"/>
      <c r="F20" s="209"/>
      <c r="G20" s="209"/>
      <c r="H20" s="212"/>
      <c r="I20" s="212"/>
      <c r="J20" s="212"/>
      <c r="M20" s="209"/>
      <c r="N20" s="248" t="s">
        <v>173</v>
      </c>
      <c r="Q20" s="922" t="str">
        <f>IF(OR(K28="-",K29="-"),T28,ID!R26)</f>
        <v>NG</v>
      </c>
      <c r="R20" s="922"/>
      <c r="S20" s="917" t="s">
        <v>44</v>
      </c>
      <c r="T20" s="917" t="s">
        <v>174</v>
      </c>
      <c r="U20" s="917" t="s">
        <v>49</v>
      </c>
    </row>
    <row r="21" spans="1:36" x14ac:dyDescent="0.3">
      <c r="A21" s="209"/>
      <c r="B21" s="209" t="s">
        <v>29</v>
      </c>
      <c r="C21" s="209"/>
      <c r="D21" s="209" t="s">
        <v>7</v>
      </c>
      <c r="E21" s="209" t="str">
        <f>ID!E21</f>
        <v>Baik</v>
      </c>
      <c r="F21" s="209"/>
      <c r="G21" s="209"/>
      <c r="H21" s="209"/>
      <c r="I21" s="209"/>
      <c r="J21" s="209"/>
      <c r="M21" s="209"/>
      <c r="N21" s="249">
        <f>IF(E21="baik",5,IF(E21="Tidak Baik",0))</f>
        <v>5</v>
      </c>
      <c r="O21" s="918">
        <f>SUM(N21:N22)</f>
        <v>10</v>
      </c>
      <c r="Q21" s="922"/>
      <c r="R21" s="922"/>
      <c r="S21" s="917"/>
      <c r="T21" s="917"/>
      <c r="U21" s="917"/>
      <c r="W21" s="916" t="s">
        <v>175</v>
      </c>
      <c r="X21" s="916"/>
      <c r="Y21" s="916"/>
      <c r="Z21" s="916"/>
      <c r="AA21" s="916"/>
      <c r="AB21" s="916"/>
      <c r="AC21" s="916"/>
      <c r="AD21" s="916"/>
      <c r="AE21" s="916"/>
    </row>
    <row r="22" spans="1:36" ht="16.5" customHeight="1" x14ac:dyDescent="0.3">
      <c r="A22" s="209"/>
      <c r="B22" s="209" t="s">
        <v>31</v>
      </c>
      <c r="C22" s="209"/>
      <c r="D22" s="209" t="s">
        <v>7</v>
      </c>
      <c r="E22" s="209" t="str">
        <f>ID!E22</f>
        <v>Baik</v>
      </c>
      <c r="F22" s="209"/>
      <c r="G22" s="209"/>
      <c r="H22" s="209"/>
      <c r="I22" s="209"/>
      <c r="J22" s="209"/>
      <c r="M22" s="209"/>
      <c r="N22" s="249">
        <f>IF(E22="baik",5,IF(E22="Tidak Baik",0))</f>
        <v>5</v>
      </c>
      <c r="O22" s="919"/>
      <c r="Q22" s="206" t="s">
        <v>96</v>
      </c>
      <c r="R22" s="323" t="s">
        <v>97</v>
      </c>
      <c r="S22" s="208">
        <f>ID!T28</f>
        <v>1</v>
      </c>
      <c r="T22" s="242">
        <f>'DB ESA'!O273</f>
        <v>7.1825064960817429</v>
      </c>
      <c r="U22" s="324">
        <v>100</v>
      </c>
      <c r="W22" s="916" t="s">
        <v>176</v>
      </c>
      <c r="X22" s="916"/>
      <c r="Y22" s="916"/>
      <c r="Z22" s="916"/>
      <c r="AA22" s="916"/>
      <c r="AB22" s="916"/>
      <c r="AC22" s="916"/>
      <c r="AD22" s="916"/>
      <c r="AE22" s="916"/>
    </row>
    <row r="23" spans="1:36" ht="3.75" customHeight="1" x14ac:dyDescent="0.25">
      <c r="A23" s="209"/>
      <c r="B23" s="209"/>
      <c r="C23" s="209"/>
      <c r="D23" s="209"/>
      <c r="E23" s="209"/>
      <c r="F23" s="209"/>
      <c r="G23" s="209"/>
      <c r="H23" s="209"/>
      <c r="I23" s="209"/>
      <c r="J23" s="209"/>
      <c r="M23" s="209"/>
      <c r="N23" s="209"/>
    </row>
    <row r="24" spans="1:36" x14ac:dyDescent="0.25">
      <c r="A24" s="212" t="s">
        <v>32</v>
      </c>
      <c r="B24" s="212" t="s">
        <v>33</v>
      </c>
      <c r="C24" s="212"/>
      <c r="D24" s="209"/>
      <c r="E24" s="209"/>
      <c r="F24" s="209"/>
      <c r="G24" s="209"/>
      <c r="H24" s="209"/>
      <c r="I24" s="209"/>
      <c r="J24" s="209"/>
      <c r="M24" s="209"/>
      <c r="N24" s="209"/>
    </row>
    <row r="25" spans="1:36" ht="33.75" customHeight="1" x14ac:dyDescent="0.25">
      <c r="A25" s="209"/>
      <c r="B25" s="237" t="s">
        <v>0</v>
      </c>
      <c r="C25" s="855" t="s">
        <v>34</v>
      </c>
      <c r="D25" s="871"/>
      <c r="E25" s="871"/>
      <c r="F25" s="871"/>
      <c r="G25" s="871"/>
      <c r="H25" s="871"/>
      <c r="I25" s="871"/>
      <c r="J25" s="856"/>
      <c r="K25" s="316" t="s">
        <v>35</v>
      </c>
      <c r="L25" s="933" t="s">
        <v>91</v>
      </c>
      <c r="M25" s="930"/>
      <c r="N25" s="305" t="s">
        <v>173</v>
      </c>
      <c r="O25" s="269"/>
      <c r="W25" s="925" t="s">
        <v>177</v>
      </c>
      <c r="X25" s="925"/>
      <c r="Y25" s="925"/>
      <c r="Z25" s="925"/>
      <c r="AA25" s="925"/>
      <c r="AB25" s="925"/>
      <c r="AC25" s="925"/>
    </row>
    <row r="26" spans="1:36" ht="15" customHeight="1" x14ac:dyDescent="0.25">
      <c r="A26" s="209"/>
      <c r="B26" s="250">
        <v>1</v>
      </c>
      <c r="C26" s="251" t="str">
        <f>ID!C27</f>
        <v xml:space="preserve">Resistansi isolasi </v>
      </c>
      <c r="D26" s="252"/>
      <c r="E26" s="252"/>
      <c r="F26" s="252"/>
      <c r="G26" s="252"/>
      <c r="H26" s="252"/>
      <c r="I26" s="252"/>
      <c r="J26" s="326"/>
      <c r="K26" s="260" t="str">
        <f>'DB ESA'!O269</f>
        <v>-</v>
      </c>
      <c r="L26" s="253">
        <f>ID!K27</f>
        <v>2</v>
      </c>
      <c r="M26" s="254" t="s">
        <v>93</v>
      </c>
      <c r="N26" s="926">
        <f>IF(OR(K28="-",K29="-",O28+O29=20),SUM(O26:O29),0)</f>
        <v>20</v>
      </c>
      <c r="O26" s="255">
        <f>IF(OR(K26="-",K26="OL",K26&gt;L26),10,0)</f>
        <v>10</v>
      </c>
      <c r="Q26" s="917" t="s">
        <v>178</v>
      </c>
      <c r="R26" s="923" t="s">
        <v>49</v>
      </c>
      <c r="S26" s="209"/>
      <c r="T26" s="206" t="s">
        <v>179</v>
      </c>
      <c r="W26" s="325" t="s">
        <v>94</v>
      </c>
      <c r="X26" s="327"/>
      <c r="Y26" s="327"/>
      <c r="Z26" s="327"/>
      <c r="AA26" s="327"/>
      <c r="AB26" s="328"/>
      <c r="AC26" s="329">
        <v>0.2</v>
      </c>
      <c r="AD26" s="2" t="s">
        <v>180</v>
      </c>
      <c r="AJ26" s="209"/>
    </row>
    <row r="27" spans="1:36" ht="15" customHeight="1" x14ac:dyDescent="0.25">
      <c r="A27" s="209"/>
      <c r="B27" s="250">
        <v>2</v>
      </c>
      <c r="C27" s="251" t="str">
        <f>W25</f>
        <v xml:space="preserve">Resistansi pembumian protektif </v>
      </c>
      <c r="D27" s="252"/>
      <c r="E27" s="252"/>
      <c r="F27" s="252"/>
      <c r="G27" s="252"/>
      <c r="H27" s="252"/>
      <c r="I27" s="252"/>
      <c r="J27" s="330"/>
      <c r="K27" s="261" t="str">
        <f>'DB ESA'!O270</f>
        <v>-</v>
      </c>
      <c r="L27" s="256">
        <f>ID!K28</f>
        <v>0.2</v>
      </c>
      <c r="M27" s="254" t="s">
        <v>95</v>
      </c>
      <c r="N27" s="926"/>
      <c r="O27" s="255">
        <f>IF(OR(K27="-",K27="OL",K27&lt;=L27,C28=W29),10,0)</f>
        <v>10</v>
      </c>
      <c r="Q27" s="917"/>
      <c r="R27" s="924"/>
      <c r="S27" s="209"/>
      <c r="T27" s="206" t="s">
        <v>92</v>
      </c>
      <c r="W27" s="331" t="s">
        <v>181</v>
      </c>
      <c r="X27" s="332"/>
      <c r="Y27" s="332"/>
      <c r="Z27" s="332"/>
      <c r="AA27" s="332"/>
      <c r="AB27" s="333"/>
      <c r="AC27" s="329">
        <v>0.3</v>
      </c>
      <c r="AD27" s="2" t="s">
        <v>182</v>
      </c>
      <c r="AJ27" s="209"/>
    </row>
    <row r="28" spans="1:36" ht="15" customHeight="1" x14ac:dyDescent="0.25">
      <c r="A28" s="209"/>
      <c r="B28" s="250">
        <v>3</v>
      </c>
      <c r="C28" s="251" t="str">
        <f>ID!C29</f>
        <v>Arus bocor peralatan untuk peralatan elektromedik kelas I</v>
      </c>
      <c r="D28" s="252"/>
      <c r="E28" s="252"/>
      <c r="F28" s="252"/>
      <c r="G28" s="252"/>
      <c r="H28" s="252"/>
      <c r="I28" s="252"/>
      <c r="K28" s="262" t="str">
        <f>'DB ESA'!O271</f>
        <v>-</v>
      </c>
      <c r="L28" s="257">
        <f>ID!K29</f>
        <v>500</v>
      </c>
      <c r="M28" s="254" t="s">
        <v>44</v>
      </c>
      <c r="N28" s="926"/>
      <c r="O28" s="255">
        <f>IF(K28="-",0,IF(Q28&lt;=R28,10,0))</f>
        <v>0</v>
      </c>
      <c r="Q28" s="242" t="str">
        <f>IF(OR(S22="",C28=W29,Q20=T28),K28,IF(K28&gt;L28,T22,K28))</f>
        <v>-</v>
      </c>
      <c r="R28" s="206">
        <f>IF(OR(S22="",C28=W29,Q20=T28),L28,IF(K28&gt;L28,U22,L28))</f>
        <v>500</v>
      </c>
      <c r="S28" s="209"/>
      <c r="T28" s="206" t="s">
        <v>183</v>
      </c>
      <c r="W28" s="334" t="s">
        <v>98</v>
      </c>
      <c r="X28" s="335"/>
      <c r="Y28" s="335"/>
      <c r="Z28" s="335"/>
      <c r="AA28" s="335"/>
      <c r="AB28" s="333"/>
      <c r="AC28" s="336">
        <v>500</v>
      </c>
      <c r="AJ28" s="209"/>
    </row>
    <row r="29" spans="1:36" ht="15" customHeight="1" x14ac:dyDescent="0.25">
      <c r="A29" s="209"/>
      <c r="B29" s="250">
        <v>4</v>
      </c>
      <c r="C29" s="251" t="str">
        <f>ID!C30</f>
        <v>Arus bocor peralatan yang diaplikasikan</v>
      </c>
      <c r="D29" s="252"/>
      <c r="E29" s="252"/>
      <c r="F29" s="252"/>
      <c r="G29" s="252"/>
      <c r="H29" s="252"/>
      <c r="I29" s="252"/>
      <c r="J29" s="330"/>
      <c r="K29" s="262" t="str">
        <f>'DB ESA'!O272</f>
        <v>-</v>
      </c>
      <c r="L29" s="257">
        <f>ID!K30</f>
        <v>50</v>
      </c>
      <c r="M29" s="254" t="s">
        <v>44</v>
      </c>
      <c r="N29" s="926"/>
      <c r="O29" s="255">
        <f>IF(K29="-",0,IF(K29&lt;=L29,10,0))</f>
        <v>0</v>
      </c>
      <c r="R29" s="209"/>
      <c r="S29" s="209"/>
      <c r="T29" s="209"/>
      <c r="U29" s="209"/>
      <c r="V29" s="209"/>
      <c r="W29" s="334" t="s">
        <v>184</v>
      </c>
      <c r="X29" s="335"/>
      <c r="Y29" s="335"/>
      <c r="Z29" s="335"/>
      <c r="AA29" s="335"/>
      <c r="AB29" s="333"/>
      <c r="AC29" s="336">
        <v>100</v>
      </c>
      <c r="AG29" s="209"/>
      <c r="AH29" s="209"/>
      <c r="AI29" s="209"/>
      <c r="AJ29" s="209"/>
    </row>
    <row r="30" spans="1:36" x14ac:dyDescent="0.25">
      <c r="A30" s="209"/>
      <c r="B30" s="209"/>
      <c r="C30" s="209"/>
      <c r="D30" s="209"/>
      <c r="E30" s="209"/>
      <c r="F30" s="209"/>
      <c r="G30" s="209"/>
      <c r="H30" s="209"/>
      <c r="I30" s="209"/>
      <c r="J30" s="216"/>
      <c r="K30" s="209"/>
      <c r="L30" s="209"/>
      <c r="M30" s="209"/>
      <c r="N30" s="209"/>
      <c r="O30" s="693">
        <f>SUM(O26:O29)</f>
        <v>20</v>
      </c>
      <c r="R30" s="209"/>
      <c r="S30" s="209"/>
      <c r="T30" s="209"/>
      <c r="U30" s="209"/>
      <c r="V30" s="209"/>
      <c r="W30" s="209"/>
      <c r="X30" s="209"/>
      <c r="Y30" s="209"/>
      <c r="Z30" s="209"/>
      <c r="AA30" s="209"/>
      <c r="AB30" s="209"/>
      <c r="AC30" s="209"/>
      <c r="AD30" s="209"/>
      <c r="AE30" s="209"/>
      <c r="AF30" s="209"/>
      <c r="AG30" s="209"/>
      <c r="AH30" s="209"/>
      <c r="AI30" s="209"/>
      <c r="AJ30" s="209"/>
    </row>
    <row r="31" spans="1:36" x14ac:dyDescent="0.25">
      <c r="A31" s="212" t="s">
        <v>47</v>
      </c>
      <c r="B31" s="212" t="s">
        <v>48</v>
      </c>
      <c r="C31" s="212"/>
      <c r="D31" s="220"/>
      <c r="E31" s="220"/>
      <c r="F31" s="221"/>
      <c r="G31" s="221"/>
      <c r="H31" s="221"/>
      <c r="I31" s="221"/>
      <c r="J31" s="218"/>
      <c r="K31" s="222"/>
      <c r="L31" s="218"/>
      <c r="M31" s="258"/>
      <c r="N31" s="218"/>
      <c r="P31" s="4"/>
      <c r="Q31" s="337"/>
      <c r="R31" s="209"/>
      <c r="U31" s="209"/>
      <c r="V31" s="209"/>
      <c r="W31" s="209"/>
      <c r="X31" s="209"/>
      <c r="Y31" s="209"/>
      <c r="Z31" s="209"/>
    </row>
    <row r="32" spans="1:36" ht="15" customHeight="1" x14ac:dyDescent="0.25">
      <c r="A32" s="212"/>
      <c r="B32" s="212" t="str">
        <f>LK!B33</f>
        <v>A. Kalibrasi Akurasi ECG</v>
      </c>
      <c r="C32" s="212"/>
      <c r="D32" s="212"/>
      <c r="E32" s="212"/>
      <c r="F32" s="212"/>
      <c r="G32" s="209"/>
      <c r="H32" s="209"/>
      <c r="I32" s="209"/>
      <c r="J32" s="209"/>
      <c r="K32" s="209"/>
      <c r="L32" s="218"/>
      <c r="M32" s="258"/>
      <c r="N32" s="218"/>
      <c r="P32" s="921"/>
      <c r="Q32" s="921"/>
      <c r="R32" s="921"/>
      <c r="S32" s="921"/>
    </row>
    <row r="33" spans="1:19" ht="15" customHeight="1" x14ac:dyDescent="0.25">
      <c r="A33" s="209"/>
      <c r="B33" s="927" t="s">
        <v>56</v>
      </c>
      <c r="C33" s="869" t="s">
        <v>34</v>
      </c>
      <c r="D33" s="929" t="s">
        <v>187</v>
      </c>
      <c r="E33" s="930"/>
      <c r="F33" s="929" t="s">
        <v>188</v>
      </c>
      <c r="G33" s="930"/>
      <c r="H33" s="927" t="s">
        <v>189</v>
      </c>
      <c r="I33" s="927" t="s">
        <v>101</v>
      </c>
      <c r="J33" s="927" t="s">
        <v>49</v>
      </c>
      <c r="K33" s="929" t="s">
        <v>102</v>
      </c>
      <c r="L33" s="930"/>
      <c r="M33" s="934" t="s">
        <v>186</v>
      </c>
      <c r="N33" s="934" t="s">
        <v>173</v>
      </c>
      <c r="O33" s="918">
        <f>SUM(O41+O30+O21)</f>
        <v>80</v>
      </c>
      <c r="P33" s="920"/>
      <c r="Q33" s="920"/>
      <c r="R33" s="920"/>
      <c r="S33" s="920"/>
    </row>
    <row r="34" spans="1:19" ht="37.5" customHeight="1" x14ac:dyDescent="0.25">
      <c r="A34" s="209"/>
      <c r="B34" s="928"/>
      <c r="C34" s="870"/>
      <c r="D34" s="931"/>
      <c r="E34" s="932"/>
      <c r="F34" s="931"/>
      <c r="G34" s="932"/>
      <c r="H34" s="870"/>
      <c r="I34" s="928"/>
      <c r="J34" s="928"/>
      <c r="K34" s="931"/>
      <c r="L34" s="932"/>
      <c r="M34" s="935"/>
      <c r="N34" s="935"/>
      <c r="O34" s="919"/>
      <c r="P34" s="920"/>
      <c r="Q34" s="920"/>
      <c r="R34" s="920"/>
      <c r="S34" s="920"/>
    </row>
    <row r="35" spans="1:19" ht="15" customHeight="1" x14ac:dyDescent="0.25">
      <c r="A35" s="209"/>
      <c r="B35" s="206">
        <v>1</v>
      </c>
      <c r="C35" s="861" t="s">
        <v>60</v>
      </c>
      <c r="D35" s="917">
        <f>ID!D37</f>
        <v>30</v>
      </c>
      <c r="E35" s="917"/>
      <c r="F35" s="941">
        <f>IFERROR('DB ECG'!B156,"-")</f>
        <v>30</v>
      </c>
      <c r="G35" s="941"/>
      <c r="H35" s="370">
        <f>IFERROR('DB ECG'!F156,"-")</f>
        <v>-9.9999999996214228E-6</v>
      </c>
      <c r="I35" s="370">
        <f>IFERROR('DB ECG'!G156,"-")</f>
        <v>-3.3333333332071412E-5</v>
      </c>
      <c r="J35" s="943">
        <v>5</v>
      </c>
      <c r="K35" s="942">
        <f>IFERROR(ID!O37,"-")</f>
        <v>1.9336673739151329</v>
      </c>
      <c r="L35" s="942"/>
      <c r="M35" s="259">
        <f>IFERROR((ABS(I35)+K35),"-")</f>
        <v>1.9337007072484649</v>
      </c>
      <c r="N35" s="950">
        <f>O40</f>
        <v>40</v>
      </c>
      <c r="O35" s="338">
        <f>IF(OR(H35="-",M35&lt;=$J$35),8,0)</f>
        <v>8</v>
      </c>
      <c r="P35" s="339"/>
    </row>
    <row r="36" spans="1:19" ht="15" customHeight="1" x14ac:dyDescent="0.25">
      <c r="A36" s="209"/>
      <c r="B36" s="206">
        <v>2</v>
      </c>
      <c r="C36" s="861"/>
      <c r="D36" s="917">
        <f>ID!D38</f>
        <v>60</v>
      </c>
      <c r="E36" s="917"/>
      <c r="F36" s="941">
        <f>IFERROR('DB ECG'!B157,"-")</f>
        <v>60</v>
      </c>
      <c r="G36" s="941"/>
      <c r="H36" s="647">
        <f>IFERROR('DB ECG'!F157,"-")</f>
        <v>1.0000000000000001E-5</v>
      </c>
      <c r="I36" s="647">
        <f>IFERROR('DB ECG'!G157,"-")</f>
        <v>1.6666666666666667E-5</v>
      </c>
      <c r="J36" s="943"/>
      <c r="K36" s="942">
        <f>IFERROR(ID!O38,"-")</f>
        <v>0.96816616066907246</v>
      </c>
      <c r="L36" s="942"/>
      <c r="M36" s="259">
        <f>IFERROR((ABS(I36)+K36),"-")</f>
        <v>0.96818282733573913</v>
      </c>
      <c r="N36" s="950"/>
      <c r="O36" s="338">
        <f>IF(OR(H36="-",M36&lt;=$J$35),8,0)</f>
        <v>8</v>
      </c>
      <c r="P36" s="339"/>
    </row>
    <row r="37" spans="1:19" ht="15" customHeight="1" x14ac:dyDescent="0.25">
      <c r="A37" s="209"/>
      <c r="B37" s="206">
        <v>3</v>
      </c>
      <c r="C37" s="861"/>
      <c r="D37" s="917">
        <f>ID!D39</f>
        <v>120</v>
      </c>
      <c r="E37" s="917"/>
      <c r="F37" s="941">
        <f>IFERROR('DB ECG'!B158,"-")</f>
        <v>120</v>
      </c>
      <c r="G37" s="941"/>
      <c r="H37" s="647">
        <f>IFERROR('DB ECG'!F158,"-")</f>
        <v>1.0000000000000001E-5</v>
      </c>
      <c r="I37" s="647">
        <f>IFERROR('DB ECG'!G158,"-")</f>
        <v>8.3333333333333337E-6</v>
      </c>
      <c r="J37" s="943"/>
      <c r="K37" s="942">
        <f>IFERROR(ID!O39,"-")</f>
        <v>0.48673609787830635</v>
      </c>
      <c r="L37" s="942"/>
      <c r="M37" s="259">
        <f>IFERROR((ABS(I37)+K37),"-")</f>
        <v>0.48674443121163968</v>
      </c>
      <c r="N37" s="950"/>
      <c r="O37" s="338">
        <f>IF(OR(H37="-",M37&lt;=$J$35),8,0)</f>
        <v>8</v>
      </c>
      <c r="P37" s="339"/>
    </row>
    <row r="38" spans="1:19" ht="15" customHeight="1" x14ac:dyDescent="0.25">
      <c r="A38" s="209"/>
      <c r="B38" s="206">
        <v>4</v>
      </c>
      <c r="C38" s="861"/>
      <c r="D38" s="917">
        <f>ID!D40</f>
        <v>180</v>
      </c>
      <c r="E38" s="917"/>
      <c r="F38" s="941">
        <f>IFERROR('DB ECG'!B159,"-")</f>
        <v>180</v>
      </c>
      <c r="G38" s="941"/>
      <c r="H38" s="647">
        <f>IFERROR('DB ECG'!F159,"-")</f>
        <v>1.0000000000000001E-5</v>
      </c>
      <c r="I38" s="647">
        <f>IFERROR('DB ECG'!G159,"-")</f>
        <v>5.5555555555555558E-6</v>
      </c>
      <c r="J38" s="943"/>
      <c r="K38" s="942">
        <f>IFERROR(ID!O40,"-")</f>
        <v>0.32742418118364769</v>
      </c>
      <c r="L38" s="942"/>
      <c r="M38" s="259">
        <f>IFERROR((ABS(I38)+K38),"-")</f>
        <v>0.32742973673920323</v>
      </c>
      <c r="N38" s="950"/>
      <c r="O38" s="338">
        <f>IF(OR(H38="-",M38&lt;=$J$35),8,0)</f>
        <v>8</v>
      </c>
      <c r="P38" s="339"/>
    </row>
    <row r="39" spans="1:19" ht="15" customHeight="1" x14ac:dyDescent="0.25">
      <c r="A39" s="209"/>
      <c r="B39" s="206">
        <v>5</v>
      </c>
      <c r="C39" s="861"/>
      <c r="D39" s="867">
        <f>ID!D41</f>
        <v>240</v>
      </c>
      <c r="E39" s="868"/>
      <c r="F39" s="941">
        <f>IFERROR('DB ECG'!B160,"-")</f>
        <v>240</v>
      </c>
      <c r="G39" s="941"/>
      <c r="H39" s="647">
        <f>IFERROR('DB ECG'!F160,"-")</f>
        <v>1.7073170681669581E-6</v>
      </c>
      <c r="I39" s="647">
        <f>IFERROR('DB ECG'!G160,"-")</f>
        <v>7.1138211173623256E-7</v>
      </c>
      <c r="J39" s="943"/>
      <c r="K39" s="942">
        <f>IFERROR(ID!O41,"-")</f>
        <v>0.24862878942257066</v>
      </c>
      <c r="L39" s="942"/>
      <c r="M39" s="259">
        <f>IFERROR((ABS(I39)+K39),"-")</f>
        <v>0.24862950080468241</v>
      </c>
      <c r="N39" s="950"/>
      <c r="O39" s="338">
        <f>IF(OR(H39="-",M39&lt;=$J$35),8,0)</f>
        <v>8</v>
      </c>
      <c r="P39" s="339"/>
    </row>
    <row r="40" spans="1:19" ht="15" customHeight="1" x14ac:dyDescent="0.25">
      <c r="A40" s="218"/>
      <c r="B40" s="258"/>
      <c r="C40" s="218"/>
      <c r="D40" s="209"/>
      <c r="E40" s="340"/>
      <c r="F40" s="341"/>
      <c r="G40" s="209"/>
      <c r="H40" s="209"/>
      <c r="I40" s="209"/>
      <c r="J40" s="209"/>
      <c r="K40" s="209"/>
      <c r="L40" s="209"/>
      <c r="M40" s="209"/>
      <c r="N40" s="209"/>
      <c r="O40" s="648">
        <f>SUM(O35:O39)</f>
        <v>40</v>
      </c>
    </row>
    <row r="41" spans="1:19" x14ac:dyDescent="0.25">
      <c r="A41" s="244" t="s">
        <v>62</v>
      </c>
      <c r="B41" s="244" t="s">
        <v>63</v>
      </c>
      <c r="C41" s="244"/>
      <c r="D41" s="243"/>
      <c r="E41" s="243"/>
      <c r="F41" s="243"/>
      <c r="G41" s="243"/>
      <c r="H41" s="243"/>
      <c r="I41" s="243"/>
      <c r="J41" s="243"/>
      <c r="K41" s="382"/>
      <c r="L41" s="239"/>
      <c r="M41" s="239"/>
      <c r="N41" s="241"/>
      <c r="O41" s="700">
        <f>IF(O40&lt;=24,0,50)</f>
        <v>50</v>
      </c>
      <c r="P41" s="3"/>
    </row>
    <row r="42" spans="1:19" x14ac:dyDescent="0.25">
      <c r="A42" s="240"/>
      <c r="B42" s="240" t="str">
        <f>ID!B44</f>
        <v>Ketidakpastian pengukuran  dilaporkan pada tingkat kepercayaan 95% dengan faktor cakupan k=2</v>
      </c>
      <c r="C42" s="240"/>
      <c r="D42" s="243"/>
      <c r="E42" s="243"/>
      <c r="F42" s="243"/>
      <c r="G42" s="243"/>
      <c r="H42" s="243"/>
      <c r="I42" s="243"/>
      <c r="J42" s="243"/>
      <c r="K42" s="382"/>
      <c r="L42" s="239"/>
      <c r="M42" s="239"/>
      <c r="N42" s="241"/>
      <c r="O42" s="3"/>
      <c r="P42" s="3"/>
    </row>
    <row r="43" spans="1:19" x14ac:dyDescent="0.25">
      <c r="A43" s="240"/>
      <c r="B43" s="240" t="str">
        <f>ID!B45</f>
        <v>Hasil pengukuran keselamatan listrik tertelusur ke Satuan Internasional ( SI ) melalui PT. Kaliman (LK-032-IDN)</v>
      </c>
      <c r="C43" s="240"/>
      <c r="D43" s="243"/>
      <c r="E43" s="243"/>
      <c r="F43" s="243"/>
      <c r="G43" s="243"/>
      <c r="H43" s="243"/>
      <c r="I43" s="243"/>
      <c r="J43" s="243"/>
      <c r="K43" s="382"/>
      <c r="L43" s="239"/>
      <c r="M43" s="239"/>
      <c r="N43" s="241"/>
      <c r="O43" s="3"/>
      <c r="P43" s="3"/>
    </row>
    <row r="44" spans="1:19" x14ac:dyDescent="0.25">
      <c r="A44" s="240"/>
      <c r="B44" s="240" t="str">
        <f>ID!B46</f>
        <v>Hasil kalibrasi ECG tertelusur ke Satuan Internasional melalui CALTEK PTE LTD (LA-2003-0292-C)</v>
      </c>
      <c r="C44" s="240"/>
      <c r="D44" s="243"/>
      <c r="E44" s="243"/>
      <c r="F44" s="243"/>
      <c r="G44" s="243"/>
      <c r="H44" s="243"/>
      <c r="I44" s="243"/>
      <c r="J44" s="243"/>
      <c r="K44" s="382"/>
      <c r="L44" s="239"/>
      <c r="M44" s="239"/>
      <c r="N44" s="241"/>
      <c r="O44" s="3"/>
      <c r="P44" s="3"/>
    </row>
    <row r="45" spans="1:19" x14ac:dyDescent="0.25">
      <c r="A45" s="240"/>
      <c r="B45" s="240" t="str">
        <f>ID!B47</f>
        <v>Tidak dilakukan pengukuran kelistrikan dikarenakan alat tidak boleh di matikan</v>
      </c>
      <c r="C45" s="240"/>
      <c r="D45" s="243"/>
      <c r="E45" s="243"/>
      <c r="F45" s="243"/>
      <c r="G45" s="243"/>
      <c r="H45" s="243"/>
      <c r="I45" s="243"/>
      <c r="J45" s="243"/>
      <c r="K45" s="382"/>
      <c r="L45" s="239"/>
      <c r="M45" s="239"/>
      <c r="N45" s="241"/>
      <c r="O45" s="3"/>
      <c r="P45" s="3"/>
    </row>
    <row r="46" spans="1:19" ht="15.75" customHeight="1" x14ac:dyDescent="0.25">
      <c r="A46" s="240"/>
      <c r="C46" s="240"/>
      <c r="D46" s="243"/>
      <c r="E46" s="243"/>
      <c r="F46" s="243"/>
      <c r="G46" s="243"/>
      <c r="H46" s="243"/>
      <c r="I46" s="243"/>
      <c r="J46" s="243"/>
      <c r="K46" s="382"/>
      <c r="L46" s="239"/>
      <c r="M46" s="239"/>
      <c r="N46" s="241"/>
      <c r="O46" s="3"/>
      <c r="P46" s="3"/>
    </row>
    <row r="47" spans="1:19" x14ac:dyDescent="0.25">
      <c r="A47" s="239" t="s">
        <v>64</v>
      </c>
      <c r="B47" s="239" t="s">
        <v>65</v>
      </c>
      <c r="C47" s="239"/>
      <c r="D47" s="238"/>
      <c r="E47" s="238"/>
      <c r="F47" s="238"/>
      <c r="G47" s="238"/>
      <c r="H47" s="238"/>
      <c r="I47" s="238"/>
      <c r="J47" s="238"/>
      <c r="K47" s="238"/>
      <c r="L47" s="238"/>
      <c r="M47" s="238"/>
      <c r="N47" s="238"/>
    </row>
    <row r="48" spans="1:19" ht="15" customHeight="1" x14ac:dyDescent="0.25">
      <c r="A48" s="238"/>
      <c r="B48" s="238" t="str">
        <f>ID!B50</f>
        <v>Multiparameter Simulator, Merek : Fluke, Model : MPS 450, SN : 184633</v>
      </c>
      <c r="C48" s="238"/>
      <c r="D48" s="238"/>
      <c r="E48" s="238"/>
      <c r="F48" s="238"/>
      <c r="G48" s="238"/>
      <c r="H48" s="238"/>
      <c r="I48" s="238"/>
      <c r="J48" s="238"/>
      <c r="K48" s="238"/>
      <c r="L48" s="238"/>
      <c r="M48" s="238"/>
      <c r="N48" s="238"/>
    </row>
    <row r="49" spans="1:14" x14ac:dyDescent="0.25">
      <c r="A49" s="238"/>
      <c r="B49" s="238" t="str">
        <f>ID!B51</f>
        <v>Electrical Safety Analyzer, Merek : Fluke, Model : ESA 615, SN : 4669058</v>
      </c>
      <c r="C49" s="238"/>
      <c r="D49" s="238"/>
      <c r="E49" s="238"/>
      <c r="F49" s="238"/>
      <c r="G49" s="238"/>
      <c r="H49" s="238"/>
      <c r="I49" s="238"/>
      <c r="J49" s="238"/>
      <c r="K49" s="238"/>
      <c r="L49" s="238"/>
      <c r="M49" s="238"/>
      <c r="N49" s="238"/>
    </row>
    <row r="50" spans="1:14" ht="18.75" customHeight="1" x14ac:dyDescent="0.25">
      <c r="A50" s="238"/>
      <c r="B50" s="238" t="str">
        <f>ID!B52</f>
        <v>Thermohygrobarometer, Merek : EXTECH, Model : SD700, SN : A.100616</v>
      </c>
      <c r="C50" s="238"/>
      <c r="D50" s="238"/>
      <c r="E50" s="238"/>
      <c r="F50" s="238"/>
      <c r="G50" s="238"/>
      <c r="H50" s="238"/>
      <c r="I50" s="238"/>
      <c r="J50" s="238"/>
      <c r="K50" s="238"/>
      <c r="L50" s="238"/>
      <c r="M50" s="238"/>
      <c r="N50" s="238"/>
    </row>
    <row r="51" spans="1:14" x14ac:dyDescent="0.25">
      <c r="A51" s="239" t="s">
        <v>77</v>
      </c>
      <c r="B51" s="239" t="str">
        <f>ID!B54</f>
        <v>Kesimpulan</v>
      </c>
      <c r="C51" s="239"/>
      <c r="D51" s="238"/>
      <c r="E51" s="238"/>
      <c r="F51" s="238"/>
      <c r="G51" s="238"/>
      <c r="H51" s="238"/>
      <c r="I51" s="238"/>
      <c r="J51" s="238"/>
      <c r="K51" s="238"/>
      <c r="L51" s="238"/>
      <c r="M51" s="238"/>
      <c r="N51" s="238"/>
    </row>
    <row r="52" spans="1:14" ht="14.25" customHeight="1" x14ac:dyDescent="0.25">
      <c r="A52" s="238"/>
      <c r="B52" s="940" t="str">
        <f>ID!B55</f>
        <v>Alat yang dikalibrasi dalam batas toleransi dan dinyatakan LAIK PAKAI</v>
      </c>
      <c r="C52" s="940"/>
      <c r="D52" s="940"/>
      <c r="E52" s="940"/>
      <c r="F52" s="940"/>
      <c r="G52" s="940"/>
      <c r="H52" s="940"/>
      <c r="I52" s="940"/>
      <c r="J52" s="940"/>
      <c r="K52" s="940"/>
      <c r="L52" s="940"/>
      <c r="M52" s="940"/>
      <c r="N52" s="940"/>
    </row>
    <row r="53" spans="1:14" ht="6" customHeight="1" x14ac:dyDescent="0.25">
      <c r="A53" s="238"/>
      <c r="B53" s="238"/>
      <c r="C53" s="238"/>
      <c r="D53" s="238"/>
      <c r="E53" s="238"/>
      <c r="F53" s="238"/>
      <c r="G53" s="238"/>
      <c r="H53" s="238"/>
      <c r="I53" s="238"/>
      <c r="J53" s="238"/>
      <c r="K53" s="238"/>
      <c r="L53" s="238"/>
      <c r="M53" s="238"/>
      <c r="N53" s="238"/>
    </row>
    <row r="54" spans="1:14" x14ac:dyDescent="0.25">
      <c r="A54" s="239" t="s">
        <v>77</v>
      </c>
      <c r="B54" s="239" t="s">
        <v>81</v>
      </c>
      <c r="C54" s="239"/>
      <c r="D54" s="238"/>
      <c r="E54" s="238"/>
      <c r="F54" s="238"/>
      <c r="G54" s="238"/>
      <c r="H54" s="238"/>
      <c r="I54" s="238"/>
      <c r="J54" s="238"/>
      <c r="K54" s="238"/>
      <c r="L54" s="238"/>
      <c r="M54" s="238"/>
      <c r="N54" s="238"/>
    </row>
    <row r="55" spans="1:14" x14ac:dyDescent="0.25">
      <c r="A55" s="238"/>
      <c r="B55" s="238" t="str">
        <f>ID!B58</f>
        <v>Yurdha Algifari</v>
      </c>
      <c r="C55" s="238"/>
      <c r="D55" s="238"/>
      <c r="E55" s="238"/>
      <c r="F55" s="238"/>
      <c r="G55" s="238"/>
      <c r="H55" s="238"/>
      <c r="I55" s="238"/>
      <c r="J55" s="238"/>
      <c r="K55" s="238"/>
      <c r="L55" s="238"/>
      <c r="M55" s="238"/>
      <c r="N55" s="238"/>
    </row>
    <row r="56" spans="1:14" x14ac:dyDescent="0.25">
      <c r="A56" s="209"/>
      <c r="B56" s="209"/>
      <c r="C56" s="209"/>
      <c r="D56" s="209"/>
      <c r="E56" s="209"/>
      <c r="F56" s="209"/>
      <c r="G56" s="209"/>
      <c r="H56" s="209"/>
      <c r="I56" s="209"/>
      <c r="J56" s="209"/>
      <c r="K56" s="209"/>
      <c r="L56" s="209"/>
      <c r="M56" s="209"/>
      <c r="N56" s="209"/>
    </row>
    <row r="57" spans="1:14" x14ac:dyDescent="0.25">
      <c r="A57" s="209"/>
      <c r="B57" s="917" t="s">
        <v>190</v>
      </c>
      <c r="C57" s="917"/>
      <c r="D57" s="917"/>
      <c r="E57" s="917"/>
      <c r="F57" s="917"/>
      <c r="G57" s="917"/>
      <c r="H57" s="917" t="s">
        <v>1</v>
      </c>
      <c r="I57" s="917" t="s">
        <v>191</v>
      </c>
      <c r="J57" s="917" t="s">
        <v>192</v>
      </c>
      <c r="K57" s="917"/>
      <c r="N57" s="209"/>
    </row>
    <row r="58" spans="1:14" x14ac:dyDescent="0.25">
      <c r="A58" s="209"/>
      <c r="B58" s="917"/>
      <c r="C58" s="917"/>
      <c r="D58" s="917"/>
      <c r="E58" s="917"/>
      <c r="F58" s="917"/>
      <c r="G58" s="917"/>
      <c r="H58" s="917"/>
      <c r="I58" s="917"/>
      <c r="J58" s="917"/>
      <c r="K58" s="917"/>
      <c r="N58" s="209"/>
    </row>
    <row r="59" spans="1:14" x14ac:dyDescent="0.25">
      <c r="A59" s="209"/>
      <c r="B59" s="251" t="s">
        <v>193</v>
      </c>
      <c r="C59" s="342" t="str">
        <f>ID!B58</f>
        <v>Yurdha Algifari</v>
      </c>
      <c r="D59" s="252"/>
      <c r="E59" s="252"/>
      <c r="F59" s="252"/>
      <c r="G59" s="343"/>
      <c r="H59" s="308">
        <f>ID!B61</f>
        <v>0</v>
      </c>
      <c r="I59" s="308"/>
      <c r="J59" s="936">
        <f>O33</f>
        <v>80</v>
      </c>
      <c r="K59" s="937"/>
      <c r="N59" s="209"/>
    </row>
    <row r="60" spans="1:14" x14ac:dyDescent="0.25">
      <c r="A60" s="209"/>
      <c r="B60" s="251" t="s">
        <v>194</v>
      </c>
      <c r="C60" s="252"/>
      <c r="D60" s="252"/>
      <c r="E60" s="252"/>
      <c r="F60" s="252"/>
      <c r="G60" s="343"/>
      <c r="H60" s="308"/>
      <c r="I60" s="308"/>
      <c r="J60" s="938"/>
      <c r="K60" s="939"/>
      <c r="N60" s="209"/>
    </row>
    <row r="62" spans="1:14" x14ac:dyDescent="0.25">
      <c r="M62" s="6"/>
      <c r="N62" s="344"/>
    </row>
    <row r="63" spans="1:14" x14ac:dyDescent="0.25">
      <c r="M63" s="7"/>
    </row>
    <row r="64" spans="1:14" ht="6" customHeight="1" x14ac:dyDescent="0.25"/>
    <row r="65" spans="2:13" x14ac:dyDescent="0.25">
      <c r="B65" s="2" t="s">
        <v>89</v>
      </c>
    </row>
    <row r="66" spans="2:13" x14ac:dyDescent="0.25">
      <c r="B66" s="2" t="s">
        <v>195</v>
      </c>
    </row>
    <row r="67" spans="2:13" ht="16" thickBot="1" x14ac:dyDescent="0.3"/>
    <row r="68" spans="2:13" ht="16" thickBot="1" x14ac:dyDescent="0.35">
      <c r="B68" s="345" t="str">
        <f>ID!E2</f>
        <v>Nomor Sertifikat : 27 /</v>
      </c>
      <c r="C68" s="346"/>
      <c r="D68" s="346"/>
      <c r="E68" s="347"/>
      <c r="F68" s="347"/>
      <c r="G68" s="347"/>
      <c r="H68" s="347"/>
      <c r="I68" s="347"/>
      <c r="J68" s="347"/>
      <c r="K68" s="348"/>
      <c r="L68" s="349"/>
    </row>
    <row r="69" spans="2:13" x14ac:dyDescent="0.3">
      <c r="B69" s="350" t="s">
        <v>380</v>
      </c>
      <c r="C69" s="351"/>
      <c r="D69" s="351"/>
      <c r="E69" s="350"/>
      <c r="F69" s="350"/>
      <c r="G69" s="350"/>
      <c r="H69" s="350"/>
      <c r="I69" s="350"/>
      <c r="J69" s="350"/>
      <c r="K69" s="352"/>
      <c r="L69" s="353">
        <v>1</v>
      </c>
    </row>
    <row r="70" spans="2:13" ht="16" thickBot="1" x14ac:dyDescent="0.35">
      <c r="B70" s="354" t="s">
        <v>381</v>
      </c>
      <c r="C70" s="355"/>
      <c r="D70" s="355"/>
      <c r="E70" s="354"/>
      <c r="F70" s="354"/>
      <c r="G70" s="354"/>
      <c r="H70" s="354"/>
      <c r="I70" s="354"/>
      <c r="J70" s="354"/>
      <c r="K70" s="356"/>
      <c r="L70" s="357">
        <v>2</v>
      </c>
    </row>
    <row r="71" spans="2:13" ht="16" thickBot="1" x14ac:dyDescent="0.35">
      <c r="B71" s="944">
        <f>VLOOKUP(B68,B69:L70,11,FALSE)</f>
        <v>1</v>
      </c>
      <c r="C71" s="945"/>
      <c r="D71" s="945"/>
      <c r="E71" s="945"/>
      <c r="F71" s="945"/>
      <c r="G71" s="945"/>
      <c r="H71" s="945"/>
      <c r="I71" s="945"/>
      <c r="J71" s="945"/>
      <c r="K71" s="946"/>
      <c r="L71" s="349"/>
    </row>
    <row r="72" spans="2:13" ht="16" thickBot="1" x14ac:dyDescent="0.3">
      <c r="B72" s="98"/>
      <c r="C72"/>
      <c r="D72"/>
      <c r="E72"/>
      <c r="F72"/>
      <c r="G72"/>
      <c r="H72"/>
      <c r="I72"/>
      <c r="J72"/>
      <c r="K72"/>
      <c r="L72"/>
      <c r="M72"/>
    </row>
    <row r="73" spans="2:13" ht="16" thickBot="1" x14ac:dyDescent="0.35">
      <c r="B73" s="947">
        <f>B71</f>
        <v>1</v>
      </c>
      <c r="C73" s="948"/>
      <c r="D73" s="948"/>
      <c r="E73" s="948"/>
      <c r="F73" s="948"/>
      <c r="G73" s="948"/>
      <c r="H73" s="948"/>
      <c r="I73" s="948"/>
      <c r="J73" s="949"/>
      <c r="K73" s="358"/>
      <c r="L73" s="358"/>
      <c r="M73"/>
    </row>
    <row r="74" spans="2:13" x14ac:dyDescent="0.3">
      <c r="B74" s="359">
        <v>1</v>
      </c>
      <c r="C74" s="360" t="s">
        <v>384</v>
      </c>
      <c r="D74" s="351"/>
      <c r="E74" s="350"/>
      <c r="F74" s="350"/>
      <c r="G74" s="350"/>
      <c r="H74" s="350"/>
      <c r="I74" s="350"/>
      <c r="J74" s="361"/>
      <c r="K74" s="358"/>
      <c r="L74" s="358"/>
      <c r="M74"/>
    </row>
    <row r="75" spans="2:13" ht="16" thickBot="1" x14ac:dyDescent="0.35">
      <c r="B75" s="362">
        <v>2</v>
      </c>
      <c r="C75" s="363" t="s">
        <v>385</v>
      </c>
      <c r="D75" s="355"/>
      <c r="E75" s="354"/>
      <c r="F75" s="354"/>
      <c r="G75" s="354"/>
      <c r="H75" s="354"/>
      <c r="I75" s="354"/>
      <c r="J75" s="364"/>
      <c r="K75" s="358"/>
      <c r="L75" s="358"/>
      <c r="M75"/>
    </row>
    <row r="76" spans="2:13" ht="16" thickBot="1" x14ac:dyDescent="0.35">
      <c r="B76" s="345" t="str">
        <f>VLOOKUP(B73,B74:H75,2,FALSE)</f>
        <v>Alat yang dikalibrasi dalam batas toleransi dan dinyatakan LAIK PAKAI</v>
      </c>
      <c r="C76" s="365"/>
      <c r="D76" s="365"/>
      <c r="E76" s="366"/>
      <c r="F76" s="366"/>
      <c r="G76" s="366"/>
      <c r="H76" s="366"/>
      <c r="I76" s="366"/>
      <c r="J76" s="367"/>
      <c r="K76" s="358"/>
      <c r="L76" s="358"/>
      <c r="M76"/>
    </row>
    <row r="77" spans="2:13" x14ac:dyDescent="0.25">
      <c r="M77"/>
    </row>
    <row r="78" spans="2:13" x14ac:dyDescent="0.3">
      <c r="B78" s="358"/>
      <c r="C78" s="368"/>
      <c r="D78" s="368"/>
      <c r="E78" s="358"/>
      <c r="F78" s="358"/>
      <c r="G78" s="358"/>
      <c r="H78" s="358"/>
      <c r="I78" s="358"/>
      <c r="J78" s="358"/>
      <c r="K78" s="358"/>
      <c r="L78" s="358"/>
      <c r="M78"/>
    </row>
    <row r="83" spans="2:13" x14ac:dyDescent="0.25">
      <c r="B83"/>
      <c r="C83"/>
      <c r="D83"/>
      <c r="E83"/>
      <c r="F83"/>
      <c r="G83"/>
      <c r="H83"/>
      <c r="I83"/>
      <c r="J83"/>
      <c r="K83"/>
      <c r="L83"/>
      <c r="M83"/>
    </row>
  </sheetData>
  <sheetProtection formatCells="0" formatColumns="0" formatRows="0" insertColumns="0" insertRows="0" deleteColumns="0" deleteRows="0"/>
  <mergeCells count="59">
    <mergeCell ref="B71:K71"/>
    <mergeCell ref="B73:J73"/>
    <mergeCell ref="N33:N34"/>
    <mergeCell ref="F38:G38"/>
    <mergeCell ref="B33:B34"/>
    <mergeCell ref="F33:G34"/>
    <mergeCell ref="H33:H34"/>
    <mergeCell ref="K35:L35"/>
    <mergeCell ref="D36:E36"/>
    <mergeCell ref="F35:G35"/>
    <mergeCell ref="F36:G36"/>
    <mergeCell ref="K36:L36"/>
    <mergeCell ref="D37:E37"/>
    <mergeCell ref="F37:G37"/>
    <mergeCell ref="K37:L37"/>
    <mergeCell ref="N35:N39"/>
    <mergeCell ref="J59:K60"/>
    <mergeCell ref="B52:N52"/>
    <mergeCell ref="D39:E39"/>
    <mergeCell ref="F39:G39"/>
    <mergeCell ref="K39:L39"/>
    <mergeCell ref="J35:J39"/>
    <mergeCell ref="B57:G58"/>
    <mergeCell ref="H57:H58"/>
    <mergeCell ref="I57:I58"/>
    <mergeCell ref="J57:K58"/>
    <mergeCell ref="D38:E38"/>
    <mergeCell ref="C35:C39"/>
    <mergeCell ref="K38:L38"/>
    <mergeCell ref="D35:E35"/>
    <mergeCell ref="A1:N1"/>
    <mergeCell ref="A2:N2"/>
    <mergeCell ref="N26:N29"/>
    <mergeCell ref="J33:J34"/>
    <mergeCell ref="K33:L34"/>
    <mergeCell ref="C33:C34"/>
    <mergeCell ref="D33:E34"/>
    <mergeCell ref="I33:I34"/>
    <mergeCell ref="C25:J25"/>
    <mergeCell ref="L25:M25"/>
    <mergeCell ref="M33:M34"/>
    <mergeCell ref="W22:AE22"/>
    <mergeCell ref="Q26:Q27"/>
    <mergeCell ref="R26:R27"/>
    <mergeCell ref="W25:AC25"/>
    <mergeCell ref="P33:Q34"/>
    <mergeCell ref="O33:O34"/>
    <mergeCell ref="O21:O22"/>
    <mergeCell ref="R33:S34"/>
    <mergeCell ref="P32:Q32"/>
    <mergeCell ref="R32:S32"/>
    <mergeCell ref="Q20:R21"/>
    <mergeCell ref="S20:S21"/>
    <mergeCell ref="W18:AE18"/>
    <mergeCell ref="T20:T21"/>
    <mergeCell ref="U20:U21"/>
    <mergeCell ref="W16:AE16"/>
    <mergeCell ref="W21:AE21"/>
    <mergeCell ref="W17:AE17"/>
  </mergeCells>
  <printOptions horizontalCentered="1"/>
  <pageMargins left="0.59055118110236204" right="0.511811023622047" top="0.39370078740157499" bottom="0.23622047244094499" header="0.23622047244094499" footer="0.23622047244094499"/>
  <pageSetup paperSize="9" scale="68" orientation="portrait" horizontalDpi="4294967294" r:id="rId1"/>
  <headerFooter>
    <oddHeader xml:space="preserve">&amp;R&amp;"-,Regular"&amp;8KL.LP - 16 / REV : 0
</oddHeader>
    <oddFooter>&amp;R&amp;K01+024Heart Rate Monitor 1.9.2023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13313" r:id="rId4">
          <objectPr defaultSize="0" autoPict="0" r:id="rId5">
            <anchor moveWithCells="1" sizeWithCells="1">
              <from>
                <xdr:col>12</xdr:col>
                <xdr:colOff>12700</xdr:colOff>
                <xdr:row>3</xdr:row>
                <xdr:rowOff>0</xdr:rowOff>
              </from>
              <to>
                <xdr:col>13</xdr:col>
                <xdr:colOff>0</xdr:colOff>
                <xdr:row>3</xdr:row>
                <xdr:rowOff>0</xdr:rowOff>
              </to>
            </anchor>
          </objectPr>
        </oleObject>
      </mc:Choice>
      <mc:Fallback>
        <oleObject progId="Equation.3" shapeId="13313" r:id="rId4"/>
      </mc:Fallback>
    </mc:AlternateContent>
    <mc:AlternateContent xmlns:mc="http://schemas.openxmlformats.org/markup-compatibility/2006">
      <mc:Choice Requires="x14">
        <oleObject progId="Equation.3" shapeId="13314" r:id="rId6">
          <objectPr defaultSize="0" autoPict="0" r:id="rId5">
            <anchor moveWithCells="1" sizeWithCells="1">
              <from>
                <xdr:col>12</xdr:col>
                <xdr:colOff>12700</xdr:colOff>
                <xdr:row>3</xdr:row>
                <xdr:rowOff>0</xdr:rowOff>
              </from>
              <to>
                <xdr:col>13</xdr:col>
                <xdr:colOff>0</xdr:colOff>
                <xdr:row>3</xdr:row>
                <xdr:rowOff>0</xdr:rowOff>
              </to>
            </anchor>
          </objectPr>
        </oleObject>
      </mc:Choice>
      <mc:Fallback>
        <oleObject progId="Equation.3" shapeId="13314" r:id="rId6"/>
      </mc:Fallback>
    </mc:AlternateContent>
    <mc:AlternateContent xmlns:mc="http://schemas.openxmlformats.org/markup-compatibility/2006">
      <mc:Choice Requires="x14">
        <oleObject progId="Equation.3" shapeId="13315" r:id="rId7">
          <objectPr defaultSize="0" autoPict="0" r:id="rId5">
            <anchor moveWithCells="1" sizeWithCells="1">
              <from>
                <xdr:col>12</xdr:col>
                <xdr:colOff>12700</xdr:colOff>
                <xdr:row>3</xdr:row>
                <xdr:rowOff>0</xdr:rowOff>
              </from>
              <to>
                <xdr:col>13</xdr:col>
                <xdr:colOff>0</xdr:colOff>
                <xdr:row>3</xdr:row>
                <xdr:rowOff>0</xdr:rowOff>
              </to>
            </anchor>
          </objectPr>
        </oleObject>
      </mc:Choice>
      <mc:Fallback>
        <oleObject progId="Equation.3" shapeId="13315" r:id="rId7"/>
      </mc:Fallback>
    </mc:AlternateContent>
    <mc:AlternateContent xmlns:mc="http://schemas.openxmlformats.org/markup-compatibility/2006">
      <mc:Choice Requires="x14">
        <oleObject progId="Equation.3" shapeId="13316" r:id="rId8">
          <objectPr defaultSize="0" autoPict="0" r:id="rId5">
            <anchor moveWithCells="1" sizeWithCells="1">
              <from>
                <xdr:col>12</xdr:col>
                <xdr:colOff>12700</xdr:colOff>
                <xdr:row>3</xdr:row>
                <xdr:rowOff>0</xdr:rowOff>
              </from>
              <to>
                <xdr:col>13</xdr:col>
                <xdr:colOff>0</xdr:colOff>
                <xdr:row>3</xdr:row>
                <xdr:rowOff>0</xdr:rowOff>
              </to>
            </anchor>
          </objectPr>
        </oleObject>
      </mc:Choice>
      <mc:Fallback>
        <oleObject progId="Equation.3" shapeId="13316" r:id="rId8"/>
      </mc:Fallback>
    </mc:AlternateContent>
    <mc:AlternateContent xmlns:mc="http://schemas.openxmlformats.org/markup-compatibility/2006">
      <mc:Choice Requires="x14">
        <oleObject progId="Equation.3" shapeId="13317" r:id="rId9">
          <objectPr defaultSize="0" autoPict="0" r:id="rId5">
            <anchor moveWithCells="1" sizeWithCells="1">
              <from>
                <xdr:col>12</xdr:col>
                <xdr:colOff>12700</xdr:colOff>
                <xdr:row>3</xdr:row>
                <xdr:rowOff>0</xdr:rowOff>
              </from>
              <to>
                <xdr:col>13</xdr:col>
                <xdr:colOff>0</xdr:colOff>
                <xdr:row>3</xdr:row>
                <xdr:rowOff>0</xdr:rowOff>
              </to>
            </anchor>
          </objectPr>
        </oleObject>
      </mc:Choice>
      <mc:Fallback>
        <oleObject progId="Equation.3" shapeId="13317" r:id="rId9"/>
      </mc:Fallback>
    </mc:AlternateContent>
    <mc:AlternateContent xmlns:mc="http://schemas.openxmlformats.org/markup-compatibility/2006">
      <mc:Choice Requires="x14">
        <oleObject progId="Equation.3" shapeId="13318" r:id="rId10">
          <objectPr defaultSize="0" autoPict="0" r:id="rId5">
            <anchor moveWithCells="1" sizeWithCells="1">
              <from>
                <xdr:col>12</xdr:col>
                <xdr:colOff>12700</xdr:colOff>
                <xdr:row>3</xdr:row>
                <xdr:rowOff>0</xdr:rowOff>
              </from>
              <to>
                <xdr:col>13</xdr:col>
                <xdr:colOff>0</xdr:colOff>
                <xdr:row>3</xdr:row>
                <xdr:rowOff>0</xdr:rowOff>
              </to>
            </anchor>
          </objectPr>
        </oleObject>
      </mc:Choice>
      <mc:Fallback>
        <oleObject progId="Equation.3" shapeId="13318" r:id="rId10"/>
      </mc:Fallback>
    </mc:AlternateContent>
    <mc:AlternateContent xmlns:mc="http://schemas.openxmlformats.org/markup-compatibility/2006">
      <mc:Choice Requires="x14">
        <oleObject progId="Equation.3" shapeId="13319" r:id="rId11">
          <objectPr defaultSize="0" autoPict="0" r:id="rId5">
            <anchor moveWithCells="1" sizeWithCells="1">
              <from>
                <xdr:col>12</xdr:col>
                <xdr:colOff>12700</xdr:colOff>
                <xdr:row>3</xdr:row>
                <xdr:rowOff>0</xdr:rowOff>
              </from>
              <to>
                <xdr:col>13</xdr:col>
                <xdr:colOff>0</xdr:colOff>
                <xdr:row>3</xdr:row>
                <xdr:rowOff>0</xdr:rowOff>
              </to>
            </anchor>
          </objectPr>
        </oleObject>
      </mc:Choice>
      <mc:Fallback>
        <oleObject progId="Equation.3" shapeId="13319" r:id="rId11"/>
      </mc:Fallback>
    </mc:AlternateContent>
    <mc:AlternateContent xmlns:mc="http://schemas.openxmlformats.org/markup-compatibility/2006">
      <mc:Choice Requires="x14">
        <oleObject progId="Equation.3" shapeId="13320" r:id="rId12">
          <objectPr defaultSize="0" autoPict="0" r:id="rId5">
            <anchor moveWithCells="1" sizeWithCells="1">
              <from>
                <xdr:col>12</xdr:col>
                <xdr:colOff>12700</xdr:colOff>
                <xdr:row>3</xdr:row>
                <xdr:rowOff>0</xdr:rowOff>
              </from>
              <to>
                <xdr:col>13</xdr:col>
                <xdr:colOff>0</xdr:colOff>
                <xdr:row>3</xdr:row>
                <xdr:rowOff>0</xdr:rowOff>
              </to>
            </anchor>
          </objectPr>
        </oleObject>
      </mc:Choice>
      <mc:Fallback>
        <oleObject progId="Equation.3" shapeId="13320" r:id="rId12"/>
      </mc:Fallback>
    </mc:AlternateContent>
    <mc:AlternateContent xmlns:mc="http://schemas.openxmlformats.org/markup-compatibility/2006">
      <mc:Choice Requires="x14">
        <oleObject progId="Equation.3" shapeId="13321" r:id="rId13">
          <objectPr defaultSize="0" autoPict="0" r:id="rId5">
            <anchor moveWithCells="1" sizeWithCells="1">
              <from>
                <xdr:col>12</xdr:col>
                <xdr:colOff>12700</xdr:colOff>
                <xdr:row>3</xdr:row>
                <xdr:rowOff>0</xdr:rowOff>
              </from>
              <to>
                <xdr:col>13</xdr:col>
                <xdr:colOff>0</xdr:colOff>
                <xdr:row>3</xdr:row>
                <xdr:rowOff>0</xdr:rowOff>
              </to>
            </anchor>
          </objectPr>
        </oleObject>
      </mc:Choice>
      <mc:Fallback>
        <oleObject progId="Equation.3" shapeId="13321" r:id="rId13"/>
      </mc:Fallback>
    </mc:AlternateContent>
    <mc:AlternateContent xmlns:mc="http://schemas.openxmlformats.org/markup-compatibility/2006">
      <mc:Choice Requires="x14">
        <oleObject progId="Equation.3" shapeId="13322" r:id="rId14">
          <objectPr defaultSize="0" autoPict="0" r:id="rId5">
            <anchor moveWithCells="1" sizeWithCells="1">
              <from>
                <xdr:col>12</xdr:col>
                <xdr:colOff>12700</xdr:colOff>
                <xdr:row>3</xdr:row>
                <xdr:rowOff>0</xdr:rowOff>
              </from>
              <to>
                <xdr:col>13</xdr:col>
                <xdr:colOff>0</xdr:colOff>
                <xdr:row>3</xdr:row>
                <xdr:rowOff>0</xdr:rowOff>
              </to>
            </anchor>
          </objectPr>
        </oleObject>
      </mc:Choice>
      <mc:Fallback>
        <oleObject progId="Equation.3" shapeId="13322" r:id="rId14"/>
      </mc:Fallback>
    </mc:AlternateContent>
    <mc:AlternateContent xmlns:mc="http://schemas.openxmlformats.org/markup-compatibility/2006">
      <mc:Choice Requires="x14">
        <oleObject progId="Equation.3" shapeId="13323" r:id="rId15">
          <objectPr defaultSize="0" autoPict="0" r:id="rId5">
            <anchor moveWithCells="1" sizeWithCells="1">
              <from>
                <xdr:col>12</xdr:col>
                <xdr:colOff>38100</xdr:colOff>
                <xdr:row>3</xdr:row>
                <xdr:rowOff>0</xdr:rowOff>
              </from>
              <to>
                <xdr:col>13</xdr:col>
                <xdr:colOff>0</xdr:colOff>
                <xdr:row>3</xdr:row>
                <xdr:rowOff>0</xdr:rowOff>
              </to>
            </anchor>
          </objectPr>
        </oleObject>
      </mc:Choice>
      <mc:Fallback>
        <oleObject progId="Equation.3" shapeId="13323" r:id="rId15"/>
      </mc:Fallback>
    </mc:AlternateContent>
    <mc:AlternateContent xmlns:mc="http://schemas.openxmlformats.org/markup-compatibility/2006">
      <mc:Choice Requires="x14">
        <oleObject progId="Equation.3" shapeId="13324" r:id="rId16">
          <objectPr defaultSize="0" autoPict="0" r:id="rId5">
            <anchor moveWithCells="1" sizeWithCells="1">
              <from>
                <xdr:col>12</xdr:col>
                <xdr:colOff>12700</xdr:colOff>
                <xdr:row>87</xdr:row>
                <xdr:rowOff>0</xdr:rowOff>
              </from>
              <to>
                <xdr:col>13</xdr:col>
                <xdr:colOff>0</xdr:colOff>
                <xdr:row>87</xdr:row>
                <xdr:rowOff>0</xdr:rowOff>
              </to>
            </anchor>
          </objectPr>
        </oleObject>
      </mc:Choice>
      <mc:Fallback>
        <oleObject progId="Equation.3" shapeId="13324" r:id="rId16"/>
      </mc:Fallback>
    </mc:AlternateContent>
    <mc:AlternateContent xmlns:mc="http://schemas.openxmlformats.org/markup-compatibility/2006">
      <mc:Choice Requires="x14">
        <oleObject progId="Equation.3" shapeId="13325" r:id="rId17">
          <objectPr defaultSize="0" autoPict="0" r:id="rId5">
            <anchor moveWithCells="1" sizeWithCells="1">
              <from>
                <xdr:col>12</xdr:col>
                <xdr:colOff>12700</xdr:colOff>
                <xdr:row>87</xdr:row>
                <xdr:rowOff>0</xdr:rowOff>
              </from>
              <to>
                <xdr:col>13</xdr:col>
                <xdr:colOff>0</xdr:colOff>
                <xdr:row>87</xdr:row>
                <xdr:rowOff>0</xdr:rowOff>
              </to>
            </anchor>
          </objectPr>
        </oleObject>
      </mc:Choice>
      <mc:Fallback>
        <oleObject progId="Equation.3" shapeId="13325" r:id="rId17"/>
      </mc:Fallback>
    </mc:AlternateContent>
    <mc:AlternateContent xmlns:mc="http://schemas.openxmlformats.org/markup-compatibility/2006">
      <mc:Choice Requires="x14">
        <oleObject progId="Equation.3" shapeId="13326" r:id="rId18">
          <objectPr defaultSize="0" autoPict="0" r:id="rId5">
            <anchor moveWithCells="1" sizeWithCells="1">
              <from>
                <xdr:col>12</xdr:col>
                <xdr:colOff>12700</xdr:colOff>
                <xdr:row>87</xdr:row>
                <xdr:rowOff>0</xdr:rowOff>
              </from>
              <to>
                <xdr:col>13</xdr:col>
                <xdr:colOff>0</xdr:colOff>
                <xdr:row>87</xdr:row>
                <xdr:rowOff>0</xdr:rowOff>
              </to>
            </anchor>
          </objectPr>
        </oleObject>
      </mc:Choice>
      <mc:Fallback>
        <oleObject progId="Equation.3" shapeId="13326" r:id="rId18"/>
      </mc:Fallback>
    </mc:AlternateContent>
    <mc:AlternateContent xmlns:mc="http://schemas.openxmlformats.org/markup-compatibility/2006">
      <mc:Choice Requires="x14">
        <oleObject progId="Equation.3" shapeId="13327" r:id="rId19">
          <objectPr defaultSize="0" autoPict="0" r:id="rId5">
            <anchor moveWithCells="1" sizeWithCells="1">
              <from>
                <xdr:col>12</xdr:col>
                <xdr:colOff>12700</xdr:colOff>
                <xdr:row>87</xdr:row>
                <xdr:rowOff>0</xdr:rowOff>
              </from>
              <to>
                <xdr:col>13</xdr:col>
                <xdr:colOff>0</xdr:colOff>
                <xdr:row>87</xdr:row>
                <xdr:rowOff>0</xdr:rowOff>
              </to>
            </anchor>
          </objectPr>
        </oleObject>
      </mc:Choice>
      <mc:Fallback>
        <oleObject progId="Equation.3" shapeId="13327" r:id="rId19"/>
      </mc:Fallback>
    </mc:AlternateContent>
    <mc:AlternateContent xmlns:mc="http://schemas.openxmlformats.org/markup-compatibility/2006">
      <mc:Choice Requires="x14">
        <oleObject progId="Equation.3" shapeId="13328" r:id="rId20">
          <objectPr defaultSize="0" autoPict="0" r:id="rId5">
            <anchor moveWithCells="1" sizeWithCells="1">
              <from>
                <xdr:col>12</xdr:col>
                <xdr:colOff>12700</xdr:colOff>
                <xdr:row>87</xdr:row>
                <xdr:rowOff>0</xdr:rowOff>
              </from>
              <to>
                <xdr:col>13</xdr:col>
                <xdr:colOff>0</xdr:colOff>
                <xdr:row>87</xdr:row>
                <xdr:rowOff>0</xdr:rowOff>
              </to>
            </anchor>
          </objectPr>
        </oleObject>
      </mc:Choice>
      <mc:Fallback>
        <oleObject progId="Equation.3" shapeId="13328" r:id="rId20"/>
      </mc:Fallback>
    </mc:AlternateContent>
    <mc:AlternateContent xmlns:mc="http://schemas.openxmlformats.org/markup-compatibility/2006">
      <mc:Choice Requires="x14">
        <oleObject progId="Equation.3" shapeId="13329" r:id="rId21">
          <objectPr defaultSize="0" autoPict="0" r:id="rId5">
            <anchor moveWithCells="1" sizeWithCells="1">
              <from>
                <xdr:col>12</xdr:col>
                <xdr:colOff>12700</xdr:colOff>
                <xdr:row>87</xdr:row>
                <xdr:rowOff>0</xdr:rowOff>
              </from>
              <to>
                <xdr:col>13</xdr:col>
                <xdr:colOff>0</xdr:colOff>
                <xdr:row>87</xdr:row>
                <xdr:rowOff>0</xdr:rowOff>
              </to>
            </anchor>
          </objectPr>
        </oleObject>
      </mc:Choice>
      <mc:Fallback>
        <oleObject progId="Equation.3" shapeId="13329" r:id="rId21"/>
      </mc:Fallback>
    </mc:AlternateContent>
    <mc:AlternateContent xmlns:mc="http://schemas.openxmlformats.org/markup-compatibility/2006">
      <mc:Choice Requires="x14">
        <oleObject progId="Equation.3" shapeId="13330" r:id="rId22">
          <objectPr defaultSize="0" autoPict="0" r:id="rId5">
            <anchor moveWithCells="1" sizeWithCells="1">
              <from>
                <xdr:col>12</xdr:col>
                <xdr:colOff>12700</xdr:colOff>
                <xdr:row>87</xdr:row>
                <xdr:rowOff>0</xdr:rowOff>
              </from>
              <to>
                <xdr:col>13</xdr:col>
                <xdr:colOff>0</xdr:colOff>
                <xdr:row>87</xdr:row>
                <xdr:rowOff>0</xdr:rowOff>
              </to>
            </anchor>
          </objectPr>
        </oleObject>
      </mc:Choice>
      <mc:Fallback>
        <oleObject progId="Equation.3" shapeId="13330" r:id="rId22"/>
      </mc:Fallback>
    </mc:AlternateContent>
    <mc:AlternateContent xmlns:mc="http://schemas.openxmlformats.org/markup-compatibility/2006">
      <mc:Choice Requires="x14">
        <oleObject progId="Equation.3" shapeId="13331" r:id="rId23">
          <objectPr defaultSize="0" autoPict="0" r:id="rId5">
            <anchor moveWithCells="1" sizeWithCells="1">
              <from>
                <xdr:col>12</xdr:col>
                <xdr:colOff>12700</xdr:colOff>
                <xdr:row>87</xdr:row>
                <xdr:rowOff>0</xdr:rowOff>
              </from>
              <to>
                <xdr:col>13</xdr:col>
                <xdr:colOff>0</xdr:colOff>
                <xdr:row>87</xdr:row>
                <xdr:rowOff>0</xdr:rowOff>
              </to>
            </anchor>
          </objectPr>
        </oleObject>
      </mc:Choice>
      <mc:Fallback>
        <oleObject progId="Equation.3" shapeId="13331" r:id="rId23"/>
      </mc:Fallback>
    </mc:AlternateContent>
    <mc:AlternateContent xmlns:mc="http://schemas.openxmlformats.org/markup-compatibility/2006">
      <mc:Choice Requires="x14">
        <oleObject progId="Equation.3" shapeId="13332" r:id="rId24">
          <objectPr defaultSize="0" autoPict="0" r:id="rId5">
            <anchor moveWithCells="1" sizeWithCells="1">
              <from>
                <xdr:col>12</xdr:col>
                <xdr:colOff>12700</xdr:colOff>
                <xdr:row>87</xdr:row>
                <xdr:rowOff>0</xdr:rowOff>
              </from>
              <to>
                <xdr:col>13</xdr:col>
                <xdr:colOff>0</xdr:colOff>
                <xdr:row>87</xdr:row>
                <xdr:rowOff>0</xdr:rowOff>
              </to>
            </anchor>
          </objectPr>
        </oleObject>
      </mc:Choice>
      <mc:Fallback>
        <oleObject progId="Equation.3" shapeId="13332" r:id="rId24"/>
      </mc:Fallback>
    </mc:AlternateContent>
    <mc:AlternateContent xmlns:mc="http://schemas.openxmlformats.org/markup-compatibility/2006">
      <mc:Choice Requires="x14">
        <oleObject progId="Equation.3" shapeId="13333" r:id="rId25">
          <objectPr defaultSize="0" autoPict="0" r:id="rId5">
            <anchor moveWithCells="1" sizeWithCells="1">
              <from>
                <xdr:col>12</xdr:col>
                <xdr:colOff>12700</xdr:colOff>
                <xdr:row>87</xdr:row>
                <xdr:rowOff>0</xdr:rowOff>
              </from>
              <to>
                <xdr:col>13</xdr:col>
                <xdr:colOff>0</xdr:colOff>
                <xdr:row>87</xdr:row>
                <xdr:rowOff>0</xdr:rowOff>
              </to>
            </anchor>
          </objectPr>
        </oleObject>
      </mc:Choice>
      <mc:Fallback>
        <oleObject progId="Equation.3" shapeId="13333" r:id="rId25"/>
      </mc:Fallback>
    </mc:AlternateContent>
    <mc:AlternateContent xmlns:mc="http://schemas.openxmlformats.org/markup-compatibility/2006">
      <mc:Choice Requires="x14">
        <oleObject progId="Equation.3" shapeId="13334" r:id="rId26">
          <objectPr defaultSize="0" autoPict="0" r:id="rId5">
            <anchor moveWithCells="1" sizeWithCells="1">
              <from>
                <xdr:col>12</xdr:col>
                <xdr:colOff>38100</xdr:colOff>
                <xdr:row>87</xdr:row>
                <xdr:rowOff>0</xdr:rowOff>
              </from>
              <to>
                <xdr:col>13</xdr:col>
                <xdr:colOff>0</xdr:colOff>
                <xdr:row>87</xdr:row>
                <xdr:rowOff>0</xdr:rowOff>
              </to>
            </anchor>
          </objectPr>
        </oleObject>
      </mc:Choice>
      <mc:Fallback>
        <oleObject progId="Equation.3" shapeId="13334" r:id="rId26"/>
      </mc:Fallback>
    </mc:AlternateContent>
    <mc:AlternateContent xmlns:mc="http://schemas.openxmlformats.org/markup-compatibility/2006">
      <mc:Choice Requires="x14">
        <oleObject progId="Equation.3" shapeId="13335" r:id="rId27">
          <objectPr defaultSize="0" autoPict="0" r:id="rId5">
            <anchor moveWithCells="1" sizeWithCells="1">
              <from>
                <xdr:col>9</xdr:col>
                <xdr:colOff>12700</xdr:colOff>
                <xdr:row>30</xdr:row>
                <xdr:rowOff>0</xdr:rowOff>
              </from>
              <to>
                <xdr:col>10</xdr:col>
                <xdr:colOff>0</xdr:colOff>
                <xdr:row>30</xdr:row>
                <xdr:rowOff>0</xdr:rowOff>
              </to>
            </anchor>
          </objectPr>
        </oleObject>
      </mc:Choice>
      <mc:Fallback>
        <oleObject progId="Equation.3" shapeId="13335" r:id="rId27"/>
      </mc:Fallback>
    </mc:AlternateContent>
    <mc:AlternateContent xmlns:mc="http://schemas.openxmlformats.org/markup-compatibility/2006">
      <mc:Choice Requires="x14">
        <oleObject progId="Equation.3" shapeId="13336" r:id="rId28">
          <objectPr defaultSize="0" autoPict="0" r:id="rId5">
            <anchor moveWithCells="1" sizeWithCells="1">
              <from>
                <xdr:col>9</xdr:col>
                <xdr:colOff>12700</xdr:colOff>
                <xdr:row>30</xdr:row>
                <xdr:rowOff>0</xdr:rowOff>
              </from>
              <to>
                <xdr:col>10</xdr:col>
                <xdr:colOff>0</xdr:colOff>
                <xdr:row>30</xdr:row>
                <xdr:rowOff>0</xdr:rowOff>
              </to>
            </anchor>
          </objectPr>
        </oleObject>
      </mc:Choice>
      <mc:Fallback>
        <oleObject progId="Equation.3" shapeId="13336" r:id="rId28"/>
      </mc:Fallback>
    </mc:AlternateContent>
    <mc:AlternateContent xmlns:mc="http://schemas.openxmlformats.org/markup-compatibility/2006">
      <mc:Choice Requires="x14">
        <oleObject progId="Equation.3" shapeId="13337" r:id="rId29">
          <objectPr defaultSize="0" autoPict="0" r:id="rId5">
            <anchor moveWithCells="1" sizeWithCells="1">
              <from>
                <xdr:col>9</xdr:col>
                <xdr:colOff>12700</xdr:colOff>
                <xdr:row>30</xdr:row>
                <xdr:rowOff>0</xdr:rowOff>
              </from>
              <to>
                <xdr:col>10</xdr:col>
                <xdr:colOff>0</xdr:colOff>
                <xdr:row>30</xdr:row>
                <xdr:rowOff>0</xdr:rowOff>
              </to>
            </anchor>
          </objectPr>
        </oleObject>
      </mc:Choice>
      <mc:Fallback>
        <oleObject progId="Equation.3" shapeId="13337" r:id="rId29"/>
      </mc:Fallback>
    </mc:AlternateContent>
    <mc:AlternateContent xmlns:mc="http://schemas.openxmlformats.org/markup-compatibility/2006">
      <mc:Choice Requires="x14">
        <oleObject progId="Equation.3" shapeId="13338" r:id="rId30">
          <objectPr defaultSize="0" autoPict="0" r:id="rId5">
            <anchor moveWithCells="1" sizeWithCells="1">
              <from>
                <xdr:col>9</xdr:col>
                <xdr:colOff>12700</xdr:colOff>
                <xdr:row>30</xdr:row>
                <xdr:rowOff>0</xdr:rowOff>
              </from>
              <to>
                <xdr:col>10</xdr:col>
                <xdr:colOff>0</xdr:colOff>
                <xdr:row>30</xdr:row>
                <xdr:rowOff>0</xdr:rowOff>
              </to>
            </anchor>
          </objectPr>
        </oleObject>
      </mc:Choice>
      <mc:Fallback>
        <oleObject progId="Equation.3" shapeId="13338" r:id="rId30"/>
      </mc:Fallback>
    </mc:AlternateContent>
    <mc:AlternateContent xmlns:mc="http://schemas.openxmlformats.org/markup-compatibility/2006">
      <mc:Choice Requires="x14">
        <oleObject progId="Equation.3" shapeId="13339" r:id="rId31">
          <objectPr defaultSize="0" autoPict="0" r:id="rId5">
            <anchor moveWithCells="1" sizeWithCells="1">
              <from>
                <xdr:col>9</xdr:col>
                <xdr:colOff>12700</xdr:colOff>
                <xdr:row>30</xdr:row>
                <xdr:rowOff>0</xdr:rowOff>
              </from>
              <to>
                <xdr:col>10</xdr:col>
                <xdr:colOff>0</xdr:colOff>
                <xdr:row>30</xdr:row>
                <xdr:rowOff>0</xdr:rowOff>
              </to>
            </anchor>
          </objectPr>
        </oleObject>
      </mc:Choice>
      <mc:Fallback>
        <oleObject progId="Equation.3" shapeId="13339" r:id="rId31"/>
      </mc:Fallback>
    </mc:AlternateContent>
    <mc:AlternateContent xmlns:mc="http://schemas.openxmlformats.org/markup-compatibility/2006">
      <mc:Choice Requires="x14">
        <oleObject progId="Equation.3" shapeId="13340" r:id="rId32">
          <objectPr defaultSize="0" autoPict="0" r:id="rId5">
            <anchor moveWithCells="1" sizeWithCells="1">
              <from>
                <xdr:col>9</xdr:col>
                <xdr:colOff>12700</xdr:colOff>
                <xdr:row>30</xdr:row>
                <xdr:rowOff>0</xdr:rowOff>
              </from>
              <to>
                <xdr:col>10</xdr:col>
                <xdr:colOff>0</xdr:colOff>
                <xdr:row>30</xdr:row>
                <xdr:rowOff>0</xdr:rowOff>
              </to>
            </anchor>
          </objectPr>
        </oleObject>
      </mc:Choice>
      <mc:Fallback>
        <oleObject progId="Equation.3" shapeId="13340" r:id="rId32"/>
      </mc:Fallback>
    </mc:AlternateContent>
    <mc:AlternateContent xmlns:mc="http://schemas.openxmlformats.org/markup-compatibility/2006">
      <mc:Choice Requires="x14">
        <oleObject progId="Equation.3" shapeId="13341" r:id="rId33">
          <objectPr defaultSize="0" autoPict="0" r:id="rId5">
            <anchor moveWithCells="1" sizeWithCells="1">
              <from>
                <xdr:col>9</xdr:col>
                <xdr:colOff>12700</xdr:colOff>
                <xdr:row>30</xdr:row>
                <xdr:rowOff>0</xdr:rowOff>
              </from>
              <to>
                <xdr:col>10</xdr:col>
                <xdr:colOff>0</xdr:colOff>
                <xdr:row>30</xdr:row>
                <xdr:rowOff>0</xdr:rowOff>
              </to>
            </anchor>
          </objectPr>
        </oleObject>
      </mc:Choice>
      <mc:Fallback>
        <oleObject progId="Equation.3" shapeId="13341" r:id="rId33"/>
      </mc:Fallback>
    </mc:AlternateContent>
    <mc:AlternateContent xmlns:mc="http://schemas.openxmlformats.org/markup-compatibility/2006">
      <mc:Choice Requires="x14">
        <oleObject progId="Equation.3" shapeId="13342" r:id="rId34">
          <objectPr defaultSize="0" autoPict="0" r:id="rId5">
            <anchor moveWithCells="1" sizeWithCells="1">
              <from>
                <xdr:col>9</xdr:col>
                <xdr:colOff>12700</xdr:colOff>
                <xdr:row>30</xdr:row>
                <xdr:rowOff>0</xdr:rowOff>
              </from>
              <to>
                <xdr:col>10</xdr:col>
                <xdr:colOff>0</xdr:colOff>
                <xdr:row>30</xdr:row>
                <xdr:rowOff>0</xdr:rowOff>
              </to>
            </anchor>
          </objectPr>
        </oleObject>
      </mc:Choice>
      <mc:Fallback>
        <oleObject progId="Equation.3" shapeId="13342" r:id="rId34"/>
      </mc:Fallback>
    </mc:AlternateContent>
    <mc:AlternateContent xmlns:mc="http://schemas.openxmlformats.org/markup-compatibility/2006">
      <mc:Choice Requires="x14">
        <oleObject progId="Equation.3" shapeId="13343" r:id="rId35">
          <objectPr defaultSize="0" autoPict="0" r:id="rId5">
            <anchor moveWithCells="1" sizeWithCells="1">
              <from>
                <xdr:col>9</xdr:col>
                <xdr:colOff>12700</xdr:colOff>
                <xdr:row>30</xdr:row>
                <xdr:rowOff>0</xdr:rowOff>
              </from>
              <to>
                <xdr:col>10</xdr:col>
                <xdr:colOff>0</xdr:colOff>
                <xdr:row>30</xdr:row>
                <xdr:rowOff>0</xdr:rowOff>
              </to>
            </anchor>
          </objectPr>
        </oleObject>
      </mc:Choice>
      <mc:Fallback>
        <oleObject progId="Equation.3" shapeId="13343" r:id="rId35"/>
      </mc:Fallback>
    </mc:AlternateContent>
    <mc:AlternateContent xmlns:mc="http://schemas.openxmlformats.org/markup-compatibility/2006">
      <mc:Choice Requires="x14">
        <oleObject progId="Equation.3" shapeId="13344" r:id="rId36">
          <objectPr defaultSize="0" autoPict="0" r:id="rId5">
            <anchor moveWithCells="1" sizeWithCells="1">
              <from>
                <xdr:col>9</xdr:col>
                <xdr:colOff>12700</xdr:colOff>
                <xdr:row>30</xdr:row>
                <xdr:rowOff>0</xdr:rowOff>
              </from>
              <to>
                <xdr:col>10</xdr:col>
                <xdr:colOff>0</xdr:colOff>
                <xdr:row>30</xdr:row>
                <xdr:rowOff>0</xdr:rowOff>
              </to>
            </anchor>
          </objectPr>
        </oleObject>
      </mc:Choice>
      <mc:Fallback>
        <oleObject progId="Equation.3" shapeId="13344" r:id="rId36"/>
      </mc:Fallback>
    </mc:AlternateContent>
    <mc:AlternateContent xmlns:mc="http://schemas.openxmlformats.org/markup-compatibility/2006">
      <mc:Choice Requires="x14">
        <oleObject progId="Equation.3" shapeId="13345" r:id="rId37">
          <objectPr defaultSize="0" autoPict="0" r:id="rId5">
            <anchor moveWithCells="1" sizeWithCells="1">
              <from>
                <xdr:col>9</xdr:col>
                <xdr:colOff>12700</xdr:colOff>
                <xdr:row>30</xdr:row>
                <xdr:rowOff>0</xdr:rowOff>
              </from>
              <to>
                <xdr:col>10</xdr:col>
                <xdr:colOff>0</xdr:colOff>
                <xdr:row>30</xdr:row>
                <xdr:rowOff>0</xdr:rowOff>
              </to>
            </anchor>
          </objectPr>
        </oleObject>
      </mc:Choice>
      <mc:Fallback>
        <oleObject progId="Equation.3" shapeId="13345" r:id="rId37"/>
      </mc:Fallback>
    </mc:AlternateContent>
    <mc:AlternateContent xmlns:mc="http://schemas.openxmlformats.org/markup-compatibility/2006">
      <mc:Choice Requires="x14">
        <oleObject progId="Equation.3" shapeId="13346" r:id="rId38">
          <objectPr defaultSize="0" autoPict="0" r:id="rId5">
            <anchor moveWithCells="1" sizeWithCells="1">
              <from>
                <xdr:col>9</xdr:col>
                <xdr:colOff>12700</xdr:colOff>
                <xdr:row>30</xdr:row>
                <xdr:rowOff>0</xdr:rowOff>
              </from>
              <to>
                <xdr:col>10</xdr:col>
                <xdr:colOff>0</xdr:colOff>
                <xdr:row>30</xdr:row>
                <xdr:rowOff>0</xdr:rowOff>
              </to>
            </anchor>
          </objectPr>
        </oleObject>
      </mc:Choice>
      <mc:Fallback>
        <oleObject progId="Equation.3" shapeId="13346" r:id="rId38"/>
      </mc:Fallback>
    </mc:AlternateContent>
    <mc:AlternateContent xmlns:mc="http://schemas.openxmlformats.org/markup-compatibility/2006">
      <mc:Choice Requires="x14">
        <oleObject progId="Equation.3" shapeId="13347" r:id="rId39">
          <objectPr defaultSize="0" autoPict="0" r:id="rId5">
            <anchor moveWithCells="1" sizeWithCells="1">
              <from>
                <xdr:col>9</xdr:col>
                <xdr:colOff>12700</xdr:colOff>
                <xdr:row>30</xdr:row>
                <xdr:rowOff>0</xdr:rowOff>
              </from>
              <to>
                <xdr:col>10</xdr:col>
                <xdr:colOff>0</xdr:colOff>
                <xdr:row>30</xdr:row>
                <xdr:rowOff>0</xdr:rowOff>
              </to>
            </anchor>
          </objectPr>
        </oleObject>
      </mc:Choice>
      <mc:Fallback>
        <oleObject progId="Equation.3" shapeId="13347" r:id="rId39"/>
      </mc:Fallback>
    </mc:AlternateContent>
    <mc:AlternateContent xmlns:mc="http://schemas.openxmlformats.org/markup-compatibility/2006">
      <mc:Choice Requires="x14">
        <oleObject progId="Equation.3" shapeId="13348" r:id="rId40">
          <objectPr defaultSize="0" autoPict="0" r:id="rId5">
            <anchor moveWithCells="1" sizeWithCells="1">
              <from>
                <xdr:col>9</xdr:col>
                <xdr:colOff>12700</xdr:colOff>
                <xdr:row>30</xdr:row>
                <xdr:rowOff>0</xdr:rowOff>
              </from>
              <to>
                <xdr:col>10</xdr:col>
                <xdr:colOff>0</xdr:colOff>
                <xdr:row>30</xdr:row>
                <xdr:rowOff>0</xdr:rowOff>
              </to>
            </anchor>
          </objectPr>
        </oleObject>
      </mc:Choice>
      <mc:Fallback>
        <oleObject progId="Equation.3" shapeId="13348" r:id="rId40"/>
      </mc:Fallback>
    </mc:AlternateContent>
    <mc:AlternateContent xmlns:mc="http://schemas.openxmlformats.org/markup-compatibility/2006">
      <mc:Choice Requires="x14">
        <oleObject progId="Equation.3" shapeId="13349" r:id="rId41">
          <objectPr defaultSize="0" autoPict="0" r:id="rId5">
            <anchor moveWithCells="1" sizeWithCells="1">
              <from>
                <xdr:col>9</xdr:col>
                <xdr:colOff>12700</xdr:colOff>
                <xdr:row>30</xdr:row>
                <xdr:rowOff>0</xdr:rowOff>
              </from>
              <to>
                <xdr:col>10</xdr:col>
                <xdr:colOff>0</xdr:colOff>
                <xdr:row>30</xdr:row>
                <xdr:rowOff>0</xdr:rowOff>
              </to>
            </anchor>
          </objectPr>
        </oleObject>
      </mc:Choice>
      <mc:Fallback>
        <oleObject progId="Equation.3" shapeId="13349" r:id="rId41"/>
      </mc:Fallback>
    </mc:AlternateContent>
    <mc:AlternateContent xmlns:mc="http://schemas.openxmlformats.org/markup-compatibility/2006">
      <mc:Choice Requires="x14">
        <oleObject progId="Equation.3" shapeId="13350" r:id="rId42">
          <objectPr defaultSize="0" autoPict="0" r:id="rId5">
            <anchor moveWithCells="1" sizeWithCells="1">
              <from>
                <xdr:col>9</xdr:col>
                <xdr:colOff>12700</xdr:colOff>
                <xdr:row>30</xdr:row>
                <xdr:rowOff>0</xdr:rowOff>
              </from>
              <to>
                <xdr:col>10</xdr:col>
                <xdr:colOff>0</xdr:colOff>
                <xdr:row>30</xdr:row>
                <xdr:rowOff>0</xdr:rowOff>
              </to>
            </anchor>
          </objectPr>
        </oleObject>
      </mc:Choice>
      <mc:Fallback>
        <oleObject progId="Equation.3" shapeId="13350" r:id="rId42"/>
      </mc:Fallback>
    </mc:AlternateContent>
    <mc:AlternateContent xmlns:mc="http://schemas.openxmlformats.org/markup-compatibility/2006">
      <mc:Choice Requires="x14">
        <oleObject progId="Equation.3" shapeId="13351" r:id="rId43">
          <objectPr defaultSize="0" autoPict="0" r:id="rId5">
            <anchor moveWithCells="1" sizeWithCells="1">
              <from>
                <xdr:col>9</xdr:col>
                <xdr:colOff>12700</xdr:colOff>
                <xdr:row>30</xdr:row>
                <xdr:rowOff>0</xdr:rowOff>
              </from>
              <to>
                <xdr:col>10</xdr:col>
                <xdr:colOff>0</xdr:colOff>
                <xdr:row>30</xdr:row>
                <xdr:rowOff>0</xdr:rowOff>
              </to>
            </anchor>
          </objectPr>
        </oleObject>
      </mc:Choice>
      <mc:Fallback>
        <oleObject progId="Equation.3" shapeId="13351" r:id="rId43"/>
      </mc:Fallback>
    </mc:AlternateContent>
    <mc:AlternateContent xmlns:mc="http://schemas.openxmlformats.org/markup-compatibility/2006">
      <mc:Choice Requires="x14">
        <oleObject progId="Equation.3" shapeId="13352" r:id="rId44">
          <objectPr defaultSize="0" autoPict="0" r:id="rId5">
            <anchor moveWithCells="1" sizeWithCells="1">
              <from>
                <xdr:col>9</xdr:col>
                <xdr:colOff>12700</xdr:colOff>
                <xdr:row>30</xdr:row>
                <xdr:rowOff>0</xdr:rowOff>
              </from>
              <to>
                <xdr:col>10</xdr:col>
                <xdr:colOff>0</xdr:colOff>
                <xdr:row>30</xdr:row>
                <xdr:rowOff>0</xdr:rowOff>
              </to>
            </anchor>
          </objectPr>
        </oleObject>
      </mc:Choice>
      <mc:Fallback>
        <oleObject progId="Equation.3" shapeId="13352" r:id="rId44"/>
      </mc:Fallback>
    </mc:AlternateContent>
    <mc:AlternateContent xmlns:mc="http://schemas.openxmlformats.org/markup-compatibility/2006">
      <mc:Choice Requires="x14">
        <oleObject progId="Equation.3" shapeId="13353" r:id="rId45">
          <objectPr defaultSize="0" autoPict="0" r:id="rId5">
            <anchor moveWithCells="1" sizeWithCells="1">
              <from>
                <xdr:col>9</xdr:col>
                <xdr:colOff>12700</xdr:colOff>
                <xdr:row>30</xdr:row>
                <xdr:rowOff>0</xdr:rowOff>
              </from>
              <to>
                <xdr:col>10</xdr:col>
                <xdr:colOff>0</xdr:colOff>
                <xdr:row>30</xdr:row>
                <xdr:rowOff>0</xdr:rowOff>
              </to>
            </anchor>
          </objectPr>
        </oleObject>
      </mc:Choice>
      <mc:Fallback>
        <oleObject progId="Equation.3" shapeId="13353" r:id="rId45"/>
      </mc:Fallback>
    </mc:AlternateContent>
    <mc:AlternateContent xmlns:mc="http://schemas.openxmlformats.org/markup-compatibility/2006">
      <mc:Choice Requires="x14">
        <oleObject progId="Equation.3" shapeId="13354" r:id="rId46">
          <objectPr defaultSize="0" autoPict="0" r:id="rId5">
            <anchor moveWithCells="1" sizeWithCells="1">
              <from>
                <xdr:col>9</xdr:col>
                <xdr:colOff>38100</xdr:colOff>
                <xdr:row>30</xdr:row>
                <xdr:rowOff>0</xdr:rowOff>
              </from>
              <to>
                <xdr:col>10</xdr:col>
                <xdr:colOff>0</xdr:colOff>
                <xdr:row>30</xdr:row>
                <xdr:rowOff>0</xdr:rowOff>
              </to>
            </anchor>
          </objectPr>
        </oleObject>
      </mc:Choice>
      <mc:Fallback>
        <oleObject progId="Equation.3" shapeId="13354" r:id="rId46"/>
      </mc:Fallback>
    </mc:AlternateContent>
  </oleObjec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8" id="{16D135FD-740A-430F-98CE-1627A08DFC3E}">
            <x14:iconSet custom="1">
              <x14:cfvo type="percent">
                <xm:f>0</xm:f>
              </x14:cfvo>
              <x14:cfvo type="num">
                <xm:f>10</xm:f>
              </x14:cfvo>
              <x14:cfvo type="num">
                <xm:f>10</xm:f>
              </x14:cfvo>
              <x14:cfIcon iconSet="3Symbols" iconId="0"/>
              <x14:cfIcon iconSet="3Symbols" iconId="2"/>
              <x14:cfIcon iconSet="3Symbols" iconId="2"/>
            </x14:iconSet>
          </x14:cfRule>
          <xm:sqref>O26:O27</xm:sqref>
        </x14:conditionalFormatting>
        <x14:conditionalFormatting xmlns:xm="http://schemas.microsoft.com/office/excel/2006/main">
          <x14:cfRule type="iconSet" priority="17" id="{442250D5-77EC-4B60-ADC1-436F2E34D673}">
            <x14:iconSet custom="1">
              <x14:cfvo type="percent">
                <xm:f>0</xm:f>
              </x14:cfvo>
              <x14:cfvo type="num">
                <xm:f>10</xm:f>
              </x14:cfvo>
              <x14:cfvo type="num">
                <xm:f>10</xm:f>
              </x14:cfvo>
              <x14:cfIcon iconSet="3Symbols" iconId="0"/>
              <x14:cfIcon iconSet="3Symbols" iconId="2"/>
              <x14:cfIcon iconSet="3Symbols" iconId="2"/>
            </x14:iconSet>
          </x14:cfRule>
          <xm:sqref>O28</xm:sqref>
        </x14:conditionalFormatting>
        <x14:conditionalFormatting xmlns:xm="http://schemas.microsoft.com/office/excel/2006/main">
          <x14:cfRule type="iconSet" priority="16" id="{EF57B28C-F366-42E9-A4DC-73F3AAFA9267}">
            <x14:iconSet custom="1">
              <x14:cfvo type="percent">
                <xm:f>0</xm:f>
              </x14:cfvo>
              <x14:cfvo type="num">
                <xm:f>5</xm:f>
              </x14:cfvo>
              <x14:cfvo type="num">
                <xm:f>5</xm:f>
              </x14:cfvo>
              <x14:cfIcon iconSet="3Symbols" iconId="0"/>
              <x14:cfIcon iconSet="3Symbols" iconId="2"/>
              <x14:cfIcon iconSet="3Symbols" iconId="2"/>
            </x14:iconSet>
          </x14:cfRule>
          <xm:sqref>N21:N22</xm:sqref>
        </x14:conditionalFormatting>
        <x14:conditionalFormatting xmlns:xm="http://schemas.microsoft.com/office/excel/2006/main">
          <x14:cfRule type="iconSet" priority="15" id="{2C4F871A-0CE9-4E92-BB43-CC5C8ADA572E}">
            <x14:iconSet custom="1">
              <x14:cfvo type="percent">
                <xm:f>0</xm:f>
              </x14:cfvo>
              <x14:cfvo type="num">
                <xm:f>70</xm:f>
              </x14:cfvo>
              <x14:cfvo type="num" gte="0">
                <xm:f>70</xm:f>
              </x14:cfvo>
              <x14:cfIcon iconSet="3Symbols" iconId="0"/>
              <x14:cfIcon iconSet="3Symbols" iconId="2"/>
              <x14:cfIcon iconSet="3Symbols" iconId="2"/>
            </x14:iconSet>
          </x14:cfRule>
          <xm:sqref>J59</xm:sqref>
        </x14:conditionalFormatting>
        <x14:conditionalFormatting xmlns:xm="http://schemas.microsoft.com/office/excel/2006/main">
          <x14:cfRule type="iconSet" priority="11" id="{7DF7C216-6501-412A-A849-BF19DEBBB434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O35:O39</xm:sqref>
        </x14:conditionalFormatting>
        <x14:conditionalFormatting xmlns:xm="http://schemas.microsoft.com/office/excel/2006/main">
          <x14:cfRule type="iconSet" priority="8" id="{4C6322BA-7F80-4011-9DED-3FEB19E592B1}">
            <x14:iconSet iconSet="3Symbols" custom="1">
              <x14:cfvo type="percent">
                <xm:f>0</xm:f>
              </x14:cfvo>
              <x14:cfvo type="num">
                <xm:f>1</xm:f>
              </x14:cfvo>
              <x14:cfvo type="num">
                <xm:f>10</xm:f>
              </x14:cfvo>
              <x14:cfIcon iconSet="3Symbols" iconId="0"/>
              <x14:cfIcon iconSet="3Symbols" iconId="2"/>
              <x14:cfIcon iconSet="3Symbols" iconId="2"/>
            </x14:iconSet>
          </x14:cfRule>
          <xm:sqref>N26:N29</xm:sqref>
        </x14:conditionalFormatting>
        <x14:conditionalFormatting xmlns:xm="http://schemas.microsoft.com/office/excel/2006/main">
          <x14:cfRule type="iconSet" priority="6" id="{1D3C9811-B97F-409D-8C40-718C7DA7F51B}">
            <x14:iconSet iconSet="3Symbols" custom="1">
              <x14:cfvo type="percent">
                <xm:f>0</xm:f>
              </x14:cfvo>
              <x14:cfvo type="num">
                <xm:f>18.75</xm:f>
              </x14:cfvo>
              <x14:cfvo type="num">
                <xm:f>18.75</xm:f>
              </x14:cfvo>
              <x14:cfIcon iconSet="3Symbols" iconId="0"/>
              <x14:cfIcon iconSet="3Symbols" iconId="2"/>
              <x14:cfIcon iconSet="3Symbols" iconId="2"/>
            </x14:iconSet>
          </x14:cfRule>
          <xm:sqref>N35</xm:sqref>
        </x14:conditionalFormatting>
        <x14:conditionalFormatting xmlns:xm="http://schemas.microsoft.com/office/excel/2006/main">
          <x14:cfRule type="iconSet" priority="5" id="{AB4890D6-01E4-45CE-988D-29422FAA71F3}">
            <x14:iconSet iconSet="3Symbols" custom="1">
              <x14:cfvo type="percent">
                <xm:f>0</xm:f>
              </x14:cfvo>
              <x14:cfvo type="num">
                <xm:f>40</xm:f>
              </x14:cfvo>
              <x14:cfvo type="num">
                <xm:f>40</xm:f>
              </x14:cfvo>
              <x14:cfIcon iconSet="3Symbols" iconId="0"/>
              <x14:cfIcon iconSet="3Symbols" iconId="2"/>
              <x14:cfIcon iconSet="3Symbols" iconId="2"/>
            </x14:iconSet>
          </x14:cfRule>
          <xm:sqref>P33</xm:sqref>
        </x14:conditionalFormatting>
        <x14:conditionalFormatting xmlns:xm="http://schemas.microsoft.com/office/excel/2006/main">
          <x14:cfRule type="iconSet" priority="4" id="{6023BA09-BC99-404D-B28B-745775340040}">
            <x14:iconSet custom="1">
              <x14:cfvo type="percent">
                <xm:f>0</xm:f>
              </x14:cfvo>
              <x14:cfvo type="num">
                <xm:f>10</xm:f>
              </x14:cfvo>
              <x14:cfvo type="num">
                <xm:f>10</xm:f>
              </x14:cfvo>
              <x14:cfIcon iconSet="3Symbols" iconId="0"/>
              <x14:cfIcon iconSet="3Symbols" iconId="2"/>
              <x14:cfIcon iconSet="3Symbols" iconId="2"/>
            </x14:iconSet>
          </x14:cfRule>
          <xm:sqref>O29</xm:sqref>
        </x14:conditionalFormatting>
        <x14:conditionalFormatting xmlns:xm="http://schemas.microsoft.com/office/excel/2006/main">
          <x14:cfRule type="iconSet" priority="2" id="{4E816390-6615-43F9-B46F-9DC26E8F8362}">
            <x14:iconSet iconSet="3Symbols" custom="1">
              <x14:cfvo type="percent">
                <xm:f>0</xm:f>
              </x14:cfvo>
              <x14:cfvo type="num">
                <xm:f>10</xm:f>
              </x14:cfvo>
              <x14:cfvo type="num" gte="0">
                <xm:f>10</xm:f>
              </x14:cfvo>
              <x14:cfIcon iconSet="3Symbols" iconId="2"/>
              <x14:cfIcon iconSet="3Symbols" iconId="2"/>
              <x14:cfIcon iconSet="3Symbols" iconId="0"/>
            </x14:iconSet>
          </x14:cfRule>
          <xm:sqref>M35:M39</xm:sqref>
        </x14:conditionalFormatting>
        <x14:conditionalFormatting xmlns:xm="http://schemas.microsoft.com/office/excel/2006/main">
          <x14:cfRule type="iconSet" priority="1" id="{E933944A-01B5-4D43-B19F-7F695CE21C21}">
            <x14:iconSet iconSet="3Symbols" custom="1">
              <x14:cfvo type="percent">
                <xm:f>0</xm:f>
              </x14:cfvo>
              <x14:cfvo type="num" gte="0">
                <xm:f>25</xm:f>
              </x14:cfvo>
              <x14:cfvo type="num" gte="0">
                <xm:f>25</xm:f>
              </x14:cfvo>
              <x14:cfIcon iconSet="3Symbols" iconId="0"/>
              <x14:cfIcon iconSet="3Symbols" iconId="2"/>
              <x14:cfIcon iconSet="3Symbols" iconId="2"/>
            </x14:iconSet>
          </x14:cfRule>
          <xm:sqref>R33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W124"/>
  <sheetViews>
    <sheetView showGridLines="0" view="pageBreakPreview" topLeftCell="A46" zoomScale="88" zoomScaleNormal="100" zoomScaleSheetLayoutView="88" zoomScalePageLayoutView="90" workbookViewId="0">
      <selection activeCell="F43" sqref="F43"/>
    </sheetView>
  </sheetViews>
  <sheetFormatPr defaultColWidth="9.1796875" defaultRowHeight="15.5" x14ac:dyDescent="0.25"/>
  <cols>
    <col min="1" max="1" width="4.81640625" style="189" customWidth="1"/>
    <col min="2" max="2" width="5.26953125" style="189" customWidth="1"/>
    <col min="3" max="3" width="17" style="189" customWidth="1"/>
    <col min="4" max="4" width="5" style="189" customWidth="1"/>
    <col min="5" max="5" width="18.1796875" style="189" customWidth="1"/>
    <col min="6" max="6" width="7.81640625" style="189" customWidth="1"/>
    <col min="7" max="7" width="10" style="189" customWidth="1"/>
    <col min="8" max="8" width="12.1796875" style="189" customWidth="1"/>
    <col min="9" max="10" width="11.26953125" style="189" customWidth="1"/>
    <col min="11" max="11" width="9" style="189" customWidth="1"/>
    <col min="12" max="12" width="9.453125" style="189" customWidth="1"/>
    <col min="13" max="13" width="6.26953125" style="189" customWidth="1"/>
    <col min="14" max="14" width="7.26953125" style="189" customWidth="1"/>
    <col min="15" max="15" width="10" style="189" customWidth="1"/>
    <col min="16" max="17" width="8.7265625" style="189" customWidth="1"/>
    <col min="18" max="16384" width="9.1796875" style="189"/>
  </cols>
  <sheetData>
    <row r="1" spans="1:23" ht="18" x14ac:dyDescent="0.25">
      <c r="A1" s="967" t="str">
        <f>PENYELIA!A1</f>
        <v>HASIL KALIBRASI HEART RATE MONITOR</v>
      </c>
      <c r="B1" s="967"/>
      <c r="C1" s="967"/>
      <c r="D1" s="967"/>
      <c r="E1" s="967"/>
      <c r="F1" s="967"/>
      <c r="G1" s="967"/>
      <c r="H1" s="967"/>
      <c r="I1" s="967"/>
      <c r="J1" s="967"/>
      <c r="K1" s="967"/>
      <c r="L1" s="967"/>
      <c r="M1" s="967"/>
      <c r="N1" s="967"/>
      <c r="O1" s="967"/>
      <c r="P1" s="270"/>
      <c r="Q1" s="270"/>
    </row>
    <row r="2" spans="1:23" ht="18" customHeight="1" x14ac:dyDescent="0.25">
      <c r="A2" s="965" t="str">
        <f>PENYELIA!A2</f>
        <v>Nomor Sertifikat : 27 / 1 / VIII - 22 / E - 008.27 DL</v>
      </c>
      <c r="B2" s="965"/>
      <c r="C2" s="965"/>
      <c r="D2" s="965"/>
      <c r="E2" s="965"/>
      <c r="F2" s="965"/>
      <c r="G2" s="965"/>
      <c r="H2" s="965"/>
      <c r="I2" s="965"/>
      <c r="J2" s="965"/>
      <c r="K2" s="965"/>
      <c r="L2" s="965"/>
      <c r="M2" s="965"/>
      <c r="N2" s="965"/>
      <c r="O2" s="965"/>
      <c r="P2" s="192"/>
      <c r="Q2" s="192"/>
    </row>
    <row r="3" spans="1:23" ht="15.75" customHeight="1" x14ac:dyDescent="0.25"/>
    <row r="4" spans="1:23" x14ac:dyDescent="0.25">
      <c r="A4" s="189" t="str">
        <f>ID!A4</f>
        <v xml:space="preserve">Merek </v>
      </c>
      <c r="D4" s="190" t="s">
        <v>7</v>
      </c>
      <c r="E4" s="191" t="str">
        <f>PENYELIA!E4</f>
        <v>-</v>
      </c>
    </row>
    <row r="5" spans="1:23" x14ac:dyDescent="0.25">
      <c r="A5" s="189" t="str">
        <f>ID!A5</f>
        <v>Model/Tipe</v>
      </c>
      <c r="D5" s="190" t="s">
        <v>7</v>
      </c>
      <c r="E5" s="191" t="str">
        <f>PENYELIA!E5</f>
        <v>-</v>
      </c>
    </row>
    <row r="6" spans="1:23" x14ac:dyDescent="0.25">
      <c r="A6" s="189" t="str">
        <f>ID!A6</f>
        <v>Nomor Seri</v>
      </c>
      <c r="D6" s="190" t="s">
        <v>7</v>
      </c>
      <c r="E6" s="191" t="str">
        <f>PENYELIA!E6</f>
        <v>-</v>
      </c>
    </row>
    <row r="7" spans="1:23" x14ac:dyDescent="0.25">
      <c r="A7" s="189" t="str">
        <f>ID!A8</f>
        <v>Tanggal Penerimaan Alat</v>
      </c>
      <c r="D7" s="190" t="s">
        <v>7</v>
      </c>
      <c r="E7" s="646" t="str">
        <f>PENYELIA!E9</f>
        <v>-</v>
      </c>
    </row>
    <row r="8" spans="1:23" x14ac:dyDescent="0.25">
      <c r="A8" s="189" t="str">
        <f>ID!A9</f>
        <v>Tanggal Kalibrasi</v>
      </c>
      <c r="D8" s="190" t="s">
        <v>7</v>
      </c>
      <c r="E8" s="646" t="str">
        <f>PENYELIA!E10</f>
        <v>-</v>
      </c>
    </row>
    <row r="9" spans="1:23" x14ac:dyDescent="0.25">
      <c r="A9" s="189" t="str">
        <f>ID!A10</f>
        <v>Tempat Kalibrasi</v>
      </c>
      <c r="D9" s="190" t="s">
        <v>7</v>
      </c>
      <c r="E9" s="191" t="str">
        <f>PENYELIA!E11</f>
        <v>-</v>
      </c>
    </row>
    <row r="10" spans="1:23" x14ac:dyDescent="0.25">
      <c r="A10" s="189" t="str">
        <f>ID!A11</f>
        <v>Nama Ruang</v>
      </c>
      <c r="D10" s="190" t="s">
        <v>7</v>
      </c>
      <c r="E10" s="191" t="str">
        <f>PENYELIA!E12</f>
        <v>-</v>
      </c>
    </row>
    <row r="11" spans="1:23" x14ac:dyDescent="0.25">
      <c r="A11" s="189" t="str">
        <f>ID!A12</f>
        <v>Metode Kerja</v>
      </c>
      <c r="D11" s="190" t="s">
        <v>7</v>
      </c>
      <c r="E11" s="189" t="str">
        <f>PENYELIA!E13</f>
        <v>KL.MK -16</v>
      </c>
      <c r="Q11" s="694"/>
      <c r="R11" s="694"/>
      <c r="S11" s="694"/>
      <c r="T11" s="694"/>
      <c r="U11" s="694"/>
      <c r="V11" s="694"/>
      <c r="W11" s="694"/>
    </row>
    <row r="12" spans="1:23" ht="15.75" customHeight="1" x14ac:dyDescent="0.25">
      <c r="D12" s="190"/>
      <c r="E12" s="190"/>
      <c r="Q12" s="694"/>
      <c r="R12" s="694"/>
      <c r="S12" s="694"/>
      <c r="T12" s="694"/>
      <c r="U12" s="694"/>
      <c r="V12" s="694"/>
      <c r="W12" s="694"/>
    </row>
    <row r="13" spans="1:23" x14ac:dyDescent="0.25">
      <c r="A13" s="192" t="s">
        <v>18</v>
      </c>
      <c r="B13" s="192" t="s">
        <v>19</v>
      </c>
      <c r="C13" s="192"/>
      <c r="D13" s="190"/>
      <c r="E13" s="190"/>
      <c r="H13" s="192"/>
      <c r="I13" s="192"/>
      <c r="J13" s="192"/>
      <c r="K13" s="192"/>
      <c r="L13" s="192"/>
      <c r="M13" s="192"/>
      <c r="N13" s="192"/>
      <c r="Q13" s="970"/>
      <c r="R13" s="970"/>
      <c r="S13" s="970"/>
      <c r="T13" s="694"/>
      <c r="U13" s="970"/>
      <c r="V13" s="970"/>
      <c r="W13" s="970"/>
    </row>
    <row r="14" spans="1:23" x14ac:dyDescent="0.25">
      <c r="B14" s="189" t="str">
        <f>PENYELIA!B16</f>
        <v xml:space="preserve">1. Suhu </v>
      </c>
      <c r="D14" s="190" t="s">
        <v>7</v>
      </c>
      <c r="E14" s="812" t="str">
        <f>'DB Thermohygro'!N390</f>
        <v>18.4</v>
      </c>
      <c r="F14" s="193"/>
      <c r="G14" s="820" t="str">
        <f>'DB Thermohygro'!O390</f>
        <v>0.4</v>
      </c>
      <c r="Q14" s="695"/>
      <c r="R14" s="695"/>
      <c r="S14" s="696"/>
      <c r="T14" s="694"/>
      <c r="U14" s="695"/>
      <c r="V14" s="695"/>
      <c r="W14" s="696"/>
    </row>
    <row r="15" spans="1:23" x14ac:dyDescent="0.3">
      <c r="B15" s="189" t="str">
        <f>PENYELIA!B17</f>
        <v>2. Kelembaban</v>
      </c>
      <c r="D15" s="190" t="s">
        <v>7</v>
      </c>
      <c r="E15" s="812" t="str">
        <f>'DB Thermohygro'!N391</f>
        <v>60.1</v>
      </c>
      <c r="F15" s="193"/>
      <c r="G15" s="820" t="str">
        <f>'DB Thermohygro'!O391</f>
        <v>2.2</v>
      </c>
      <c r="Q15" s="695"/>
      <c r="R15" s="695"/>
      <c r="S15" s="696"/>
      <c r="T15" s="694"/>
      <c r="U15" s="697"/>
      <c r="V15" s="698"/>
      <c r="W15" s="698"/>
    </row>
    <row r="16" spans="1:23" x14ac:dyDescent="0.3">
      <c r="B16" s="189" t="str">
        <f>PENYELIA!B18</f>
        <v>3. Tegangan Jala-jala</v>
      </c>
      <c r="D16" s="190" t="s">
        <v>7</v>
      </c>
      <c r="E16" s="813" t="str">
        <f>TEXT('DB ESA'!H272,"0.0")</f>
        <v>219.8</v>
      </c>
      <c r="F16" s="371"/>
      <c r="G16" s="813" t="str">
        <f>TEXT('DB ESA'!I272,"0.0")</f>
        <v>2.6</v>
      </c>
      <c r="Q16" s="697"/>
      <c r="R16" s="698"/>
      <c r="S16" s="698"/>
      <c r="T16" s="694"/>
      <c r="U16" s="694"/>
      <c r="V16" s="694"/>
      <c r="W16" s="694"/>
    </row>
    <row r="17" spans="1:23" ht="15.75" customHeight="1" x14ac:dyDescent="0.25">
      <c r="D17" s="190"/>
      <c r="E17" s="190"/>
      <c r="Q17" s="694"/>
      <c r="R17" s="694"/>
      <c r="S17" s="694"/>
      <c r="T17" s="694"/>
      <c r="U17" s="694"/>
      <c r="V17" s="694"/>
      <c r="W17" s="694"/>
    </row>
    <row r="18" spans="1:23" x14ac:dyDescent="0.25">
      <c r="A18" s="192" t="s">
        <v>27</v>
      </c>
      <c r="B18" s="192" t="s">
        <v>172</v>
      </c>
      <c r="C18" s="192"/>
      <c r="D18" s="190"/>
      <c r="E18" s="190"/>
      <c r="H18" s="192"/>
      <c r="I18" s="192"/>
      <c r="J18" s="192"/>
      <c r="K18" s="192"/>
    </row>
    <row r="19" spans="1:23" x14ac:dyDescent="0.25">
      <c r="B19" s="189" t="s">
        <v>29</v>
      </c>
      <c r="D19" s="190" t="s">
        <v>7</v>
      </c>
      <c r="E19" s="814" t="str">
        <f>PENYELIA!E21</f>
        <v>Baik</v>
      </c>
    </row>
    <row r="20" spans="1:23" x14ac:dyDescent="0.25">
      <c r="B20" s="189" t="s">
        <v>31</v>
      </c>
      <c r="D20" s="190" t="s">
        <v>7</v>
      </c>
      <c r="E20" s="814" t="str">
        <f>PENYELIA!E22</f>
        <v>Baik</v>
      </c>
    </row>
    <row r="21" spans="1:23" ht="15.75" customHeight="1" x14ac:dyDescent="0.25"/>
    <row r="22" spans="1:23" x14ac:dyDescent="0.25">
      <c r="A22" s="192" t="s">
        <v>32</v>
      </c>
      <c r="B22" s="192" t="s">
        <v>33</v>
      </c>
      <c r="C22" s="192"/>
    </row>
    <row r="23" spans="1:23" ht="15" customHeight="1" x14ac:dyDescent="0.25">
      <c r="B23" s="966" t="s">
        <v>0</v>
      </c>
      <c r="C23" s="966" t="s">
        <v>34</v>
      </c>
      <c r="D23" s="966"/>
      <c r="E23" s="966"/>
      <c r="F23" s="966"/>
      <c r="G23" s="966"/>
      <c r="H23" s="966"/>
      <c r="I23" s="966"/>
      <c r="J23" s="966" t="s">
        <v>35</v>
      </c>
      <c r="K23" s="966"/>
      <c r="L23" s="964" t="s">
        <v>91</v>
      </c>
      <c r="M23" s="964"/>
    </row>
    <row r="24" spans="1:23" ht="15" customHeight="1" x14ac:dyDescent="0.25">
      <c r="B24" s="966"/>
      <c r="C24" s="966"/>
      <c r="D24" s="966"/>
      <c r="E24" s="966"/>
      <c r="F24" s="966"/>
      <c r="G24" s="966"/>
      <c r="H24" s="966"/>
      <c r="I24" s="966"/>
      <c r="J24" s="966"/>
      <c r="K24" s="966"/>
      <c r="L24" s="964"/>
      <c r="M24" s="964"/>
    </row>
    <row r="25" spans="1:23" x14ac:dyDescent="0.25">
      <c r="B25" s="194">
        <v>1</v>
      </c>
      <c r="C25" s="955" t="str">
        <f>PENYELIA!C26</f>
        <v xml:space="preserve">Resistansi isolasi </v>
      </c>
      <c r="D25" s="955"/>
      <c r="E25" s="955"/>
      <c r="F25" s="955"/>
      <c r="G25" s="955"/>
      <c r="H25" s="955"/>
      <c r="I25" s="955"/>
      <c r="J25" s="956" t="str">
        <f>PENYELIA!K26</f>
        <v>-</v>
      </c>
      <c r="K25" s="957"/>
      <c r="L25" s="699">
        <f>PENYELIA!L26</f>
        <v>2</v>
      </c>
      <c r="M25" s="196" t="s">
        <v>93</v>
      </c>
    </row>
    <row r="26" spans="1:23" x14ac:dyDescent="0.25">
      <c r="B26" s="194">
        <v>2</v>
      </c>
      <c r="C26" s="955" t="str">
        <f>PENYELIA!C27</f>
        <v xml:space="preserve">Resistansi pembumian protektif </v>
      </c>
      <c r="D26" s="955"/>
      <c r="E26" s="955"/>
      <c r="F26" s="955"/>
      <c r="G26" s="955"/>
      <c r="H26" s="955"/>
      <c r="I26" s="955"/>
      <c r="J26" s="956" t="str">
        <f>PENYELIA!K27</f>
        <v>-</v>
      </c>
      <c r="K26" s="957"/>
      <c r="L26" s="202">
        <f>PENYELIA!L27</f>
        <v>0.2</v>
      </c>
      <c r="M26" s="196" t="s">
        <v>95</v>
      </c>
    </row>
    <row r="27" spans="1:23" x14ac:dyDescent="0.25">
      <c r="B27" s="194">
        <v>3</v>
      </c>
      <c r="C27" s="955" t="str">
        <f>PENYELIA!C28</f>
        <v>Arus bocor peralatan untuk peralatan elektromedik kelas I</v>
      </c>
      <c r="D27" s="955"/>
      <c r="E27" s="955"/>
      <c r="F27" s="955"/>
      <c r="G27" s="955"/>
      <c r="H27" s="955"/>
      <c r="I27" s="955"/>
      <c r="J27" s="956" t="str">
        <f>PENYELIA!K28</f>
        <v>-</v>
      </c>
      <c r="K27" s="957"/>
      <c r="L27" s="203">
        <f>PENYELIA!L28</f>
        <v>500</v>
      </c>
      <c r="M27" s="196" t="s">
        <v>44</v>
      </c>
    </row>
    <row r="28" spans="1:23" x14ac:dyDescent="0.25">
      <c r="A28" s="291"/>
      <c r="B28" s="201">
        <v>4</v>
      </c>
      <c r="C28" s="195" t="str">
        <f>PENYELIA!C29</f>
        <v>Arus bocor peralatan yang diaplikasikan</v>
      </c>
      <c r="D28" s="195"/>
      <c r="E28" s="195"/>
      <c r="F28" s="195"/>
      <c r="G28" s="195"/>
      <c r="H28" s="197"/>
      <c r="I28" s="196"/>
      <c r="J28" s="956" t="str">
        <f>PENYELIA!K29</f>
        <v>-</v>
      </c>
      <c r="K28" s="957"/>
      <c r="L28" s="203">
        <f>PENYELIA!L29</f>
        <v>50</v>
      </c>
      <c r="M28" s="196" t="s">
        <v>44</v>
      </c>
    </row>
    <row r="29" spans="1:23" ht="15.75" customHeight="1" x14ac:dyDescent="0.25"/>
    <row r="30" spans="1:23" ht="15.75" customHeight="1" x14ac:dyDescent="0.25">
      <c r="A30" s="192" t="s">
        <v>47</v>
      </c>
      <c r="B30" s="192" t="s">
        <v>48</v>
      </c>
      <c r="C30" s="192"/>
      <c r="D30" s="198"/>
      <c r="E30" s="198"/>
      <c r="F30" s="199"/>
      <c r="G30" s="199"/>
      <c r="H30" s="199"/>
      <c r="I30" s="199"/>
      <c r="L30" s="200"/>
      <c r="M30" s="271"/>
      <c r="N30" s="200"/>
      <c r="P30" s="272"/>
    </row>
    <row r="31" spans="1:23" ht="19" customHeight="1" x14ac:dyDescent="0.25">
      <c r="A31" s="192"/>
      <c r="B31" s="192" t="str">
        <f>PENYELIA!B32</f>
        <v>A. Kalibrasi Akurasi ECG</v>
      </c>
      <c r="C31" s="192"/>
      <c r="D31" s="192"/>
      <c r="E31" s="192"/>
      <c r="F31" s="192"/>
      <c r="P31" s="190"/>
      <c r="T31" s="190"/>
      <c r="U31" s="190"/>
    </row>
    <row r="32" spans="1:23" ht="30.75" customHeight="1" x14ac:dyDescent="0.25">
      <c r="B32" s="952" t="s">
        <v>56</v>
      </c>
      <c r="C32" s="952" t="s">
        <v>34</v>
      </c>
      <c r="D32" s="958" t="str">
        <f>PENYELIA!D33</f>
        <v>Setting Standar
(BPM)</v>
      </c>
      <c r="E32" s="959"/>
      <c r="F32" s="958" t="str">
        <f>PENYELIA!F33</f>
        <v>Pembacaan Alat
(BPM)</v>
      </c>
      <c r="G32" s="959"/>
      <c r="H32" s="429" t="s">
        <v>100</v>
      </c>
      <c r="I32" s="964" t="str">
        <f>PENYELIA!I33</f>
        <v>Koreksi Relatif (%)</v>
      </c>
      <c r="J32" s="952" t="s">
        <v>49</v>
      </c>
      <c r="K32" s="958" t="s">
        <v>102</v>
      </c>
      <c r="L32" s="959"/>
    </row>
    <row r="33" spans="1:16" ht="15" customHeight="1" x14ac:dyDescent="0.25">
      <c r="B33" s="953"/>
      <c r="C33" s="953"/>
      <c r="D33" s="960"/>
      <c r="E33" s="961"/>
      <c r="F33" s="960"/>
      <c r="G33" s="961"/>
      <c r="H33" s="428" t="s">
        <v>203</v>
      </c>
      <c r="I33" s="964"/>
      <c r="J33" s="953"/>
      <c r="K33" s="960"/>
      <c r="L33" s="961"/>
    </row>
    <row r="34" spans="1:16" ht="19" customHeight="1" x14ac:dyDescent="0.25">
      <c r="B34" s="201">
        <v>1</v>
      </c>
      <c r="C34" s="969" t="str">
        <f>PENYELIA!C35</f>
        <v xml:space="preserve">Frekuensi              Heart Rate                      (BPM) </v>
      </c>
      <c r="D34" s="962">
        <f>PENYELIA!D35</f>
        <v>30</v>
      </c>
      <c r="E34" s="962"/>
      <c r="F34" s="963">
        <f>PENYELIA!F35</f>
        <v>30</v>
      </c>
      <c r="G34" s="963"/>
      <c r="H34" s="815">
        <f>PENYELIA!H35</f>
        <v>-9.9999999996214228E-6</v>
      </c>
      <c r="I34" s="816">
        <f>PENYELIA!I35</f>
        <v>-3.3333333332071412E-5</v>
      </c>
      <c r="J34" s="968" t="s">
        <v>204</v>
      </c>
      <c r="K34" s="951" t="str">
        <f>TEXT(PENYELIA!K35,"0.0")</f>
        <v>1.9</v>
      </c>
      <c r="L34" s="951"/>
    </row>
    <row r="35" spans="1:16" ht="15.75" customHeight="1" x14ac:dyDescent="0.25">
      <c r="B35" s="201">
        <v>2</v>
      </c>
      <c r="C35" s="969"/>
      <c r="D35" s="962">
        <f>PENYELIA!D36</f>
        <v>60</v>
      </c>
      <c r="E35" s="962"/>
      <c r="F35" s="963">
        <f>PENYELIA!F36</f>
        <v>60</v>
      </c>
      <c r="G35" s="963"/>
      <c r="H35" s="817">
        <f>PENYELIA!H36</f>
        <v>1.0000000000000001E-5</v>
      </c>
      <c r="I35" s="816">
        <f>PENYELIA!I36</f>
        <v>1.6666666666666667E-5</v>
      </c>
      <c r="J35" s="968"/>
      <c r="K35" s="951" t="str">
        <f>TEXT(PENYELIA!K36,"0.0")</f>
        <v>1.0</v>
      </c>
      <c r="L35" s="951"/>
      <c r="M35" s="271"/>
    </row>
    <row r="36" spans="1:16" ht="15.75" customHeight="1" x14ac:dyDescent="0.25">
      <c r="B36" s="201">
        <v>3</v>
      </c>
      <c r="C36" s="969"/>
      <c r="D36" s="962">
        <f>PENYELIA!D37</f>
        <v>120</v>
      </c>
      <c r="E36" s="962"/>
      <c r="F36" s="963">
        <f>PENYELIA!F37</f>
        <v>120</v>
      </c>
      <c r="G36" s="963"/>
      <c r="H36" s="815">
        <f>PENYELIA!H37</f>
        <v>1.0000000000000001E-5</v>
      </c>
      <c r="I36" s="816">
        <f>PENYELIA!I37</f>
        <v>8.3333333333333337E-6</v>
      </c>
      <c r="J36" s="968"/>
      <c r="K36" s="951" t="str">
        <f>TEXT(PENYELIA!K37,"0.0")</f>
        <v>0.5</v>
      </c>
      <c r="L36" s="951"/>
      <c r="M36" s="271"/>
    </row>
    <row r="37" spans="1:16" ht="15.75" customHeight="1" x14ac:dyDescent="0.25">
      <c r="B37" s="201">
        <v>4</v>
      </c>
      <c r="C37" s="969"/>
      <c r="D37" s="962">
        <f>PENYELIA!D38</f>
        <v>180</v>
      </c>
      <c r="E37" s="962"/>
      <c r="F37" s="963">
        <f>PENYELIA!F38</f>
        <v>180</v>
      </c>
      <c r="G37" s="963"/>
      <c r="H37" s="815">
        <f>PENYELIA!H38</f>
        <v>1.0000000000000001E-5</v>
      </c>
      <c r="I37" s="816">
        <f>PENYELIA!I38</f>
        <v>5.5555555555555558E-6</v>
      </c>
      <c r="J37" s="968"/>
      <c r="K37" s="951" t="str">
        <f>TEXT(PENYELIA!K38,"0.0")</f>
        <v>0.3</v>
      </c>
      <c r="L37" s="951"/>
      <c r="M37" s="271"/>
    </row>
    <row r="38" spans="1:16" ht="15.75" customHeight="1" x14ac:dyDescent="0.25">
      <c r="B38" s="201">
        <v>5</v>
      </c>
      <c r="C38" s="969"/>
      <c r="D38" s="962">
        <f>PENYELIA!D39</f>
        <v>240</v>
      </c>
      <c r="E38" s="962"/>
      <c r="F38" s="963">
        <f>PENYELIA!F39</f>
        <v>240</v>
      </c>
      <c r="G38" s="963"/>
      <c r="H38" s="815">
        <f>PENYELIA!H39</f>
        <v>1.7073170681669581E-6</v>
      </c>
      <c r="I38" s="816">
        <f>PENYELIA!I39</f>
        <v>7.1138211173623256E-7</v>
      </c>
      <c r="J38" s="968"/>
      <c r="K38" s="951" t="str">
        <f>TEXT(PENYELIA!K39,"0.0")</f>
        <v>0.2</v>
      </c>
      <c r="L38" s="951"/>
      <c r="M38" s="271"/>
    </row>
    <row r="39" spans="1:16" ht="15.75" customHeight="1" x14ac:dyDescent="0.25">
      <c r="A39" s="273"/>
      <c r="B39" s="273"/>
      <c r="C39" s="273"/>
      <c r="D39" s="273"/>
      <c r="E39" s="273"/>
      <c r="F39" s="273"/>
      <c r="G39" s="273"/>
      <c r="H39" s="273"/>
      <c r="I39" s="273"/>
      <c r="J39" s="273"/>
      <c r="K39" s="273"/>
      <c r="N39" s="273"/>
      <c r="P39" s="272"/>
    </row>
    <row r="40" spans="1:16" x14ac:dyDescent="0.25">
      <c r="A40" s="372" t="s">
        <v>62</v>
      </c>
      <c r="B40" s="372" t="s">
        <v>63</v>
      </c>
      <c r="C40" s="372"/>
      <c r="D40" s="373"/>
      <c r="E40" s="373"/>
      <c r="F40" s="373"/>
      <c r="G40" s="373"/>
      <c r="H40" s="373"/>
      <c r="I40" s="373"/>
      <c r="J40" s="373"/>
      <c r="K40" s="374"/>
      <c r="L40" s="375"/>
      <c r="M40" s="375"/>
      <c r="N40" s="376"/>
      <c r="O40" s="376"/>
    </row>
    <row r="41" spans="1:16" x14ac:dyDescent="0.25">
      <c r="A41" s="377"/>
      <c r="B41" s="818" t="str">
        <f>PENYELIA!B42</f>
        <v>Ketidakpastian pengukuran  dilaporkan pada tingkat kepercayaan 95% dengan faktor cakupan k=2</v>
      </c>
      <c r="C41" s="377"/>
      <c r="D41" s="373"/>
      <c r="E41" s="373"/>
      <c r="F41" s="373"/>
      <c r="G41" s="373"/>
      <c r="H41" s="373"/>
      <c r="I41" s="373"/>
      <c r="J41" s="373"/>
      <c r="K41" s="374"/>
      <c r="L41" s="375"/>
      <c r="M41" s="375"/>
      <c r="N41" s="376"/>
      <c r="O41" s="376"/>
    </row>
    <row r="42" spans="1:16" x14ac:dyDescent="0.25">
      <c r="A42" s="377"/>
      <c r="B42" s="818" t="str">
        <f>IF(E16="-","",PENYELIA!B43)</f>
        <v>Hasil pengukuran keselamatan listrik tertelusur ke Satuan Internasional ( SI ) melalui PT. Kaliman (LK-032-IDN)</v>
      </c>
      <c r="C42" s="377"/>
      <c r="D42" s="373"/>
      <c r="E42" s="373"/>
      <c r="F42" s="373"/>
      <c r="G42" s="373"/>
      <c r="H42" s="373"/>
      <c r="I42" s="373"/>
      <c r="J42" s="373"/>
      <c r="K42" s="374"/>
      <c r="L42" s="375"/>
      <c r="M42" s="375"/>
      <c r="N42" s="376"/>
      <c r="O42" s="376"/>
    </row>
    <row r="43" spans="1:16" x14ac:dyDescent="0.25">
      <c r="A43" s="377"/>
      <c r="B43" s="818" t="str">
        <f>PENYELIA!B44</f>
        <v>Hasil kalibrasi ECG tertelusur ke Satuan Internasional melalui CALTEK PTE LTD (LA-2003-0292-C)</v>
      </c>
      <c r="C43" s="377"/>
      <c r="D43" s="373"/>
      <c r="E43" s="373"/>
      <c r="F43" s="373"/>
      <c r="G43" s="373"/>
      <c r="H43" s="373"/>
      <c r="I43" s="373"/>
      <c r="J43" s="373"/>
      <c r="K43" s="374"/>
      <c r="L43" s="375"/>
      <c r="M43" s="375"/>
      <c r="N43" s="376"/>
      <c r="O43" s="376"/>
    </row>
    <row r="44" spans="1:16" x14ac:dyDescent="0.25">
      <c r="A44" s="377"/>
      <c r="B44" s="818" t="str">
        <f>PENYELIA!B45</f>
        <v>Tidak dilakukan pengukuran kelistrikan dikarenakan alat tidak boleh di matikan</v>
      </c>
      <c r="C44" s="377"/>
      <c r="D44" s="373"/>
      <c r="E44" s="373"/>
      <c r="F44" s="373"/>
      <c r="G44" s="373"/>
      <c r="H44" s="373"/>
      <c r="I44" s="373"/>
      <c r="J44" s="373"/>
      <c r="K44" s="374"/>
      <c r="L44" s="375"/>
      <c r="M44" s="375"/>
      <c r="N44" s="376"/>
      <c r="O44" s="376"/>
    </row>
    <row r="45" spans="1:16" x14ac:dyDescent="0.25">
      <c r="A45" s="377"/>
      <c r="C45" s="377"/>
      <c r="D45" s="373"/>
      <c r="E45" s="373"/>
      <c r="F45" s="373"/>
      <c r="G45" s="373"/>
      <c r="H45" s="373"/>
      <c r="I45" s="373"/>
      <c r="J45" s="373"/>
      <c r="K45" s="374"/>
      <c r="L45" s="375"/>
      <c r="M45" s="375"/>
      <c r="N45" s="376"/>
      <c r="O45" s="376"/>
    </row>
    <row r="46" spans="1:16" x14ac:dyDescent="0.25">
      <c r="A46" s="375" t="s">
        <v>64</v>
      </c>
      <c r="B46" s="375" t="s">
        <v>65</v>
      </c>
      <c r="C46" s="375"/>
      <c r="D46" s="378"/>
      <c r="E46" s="378"/>
      <c r="F46" s="378"/>
      <c r="G46" s="378"/>
      <c r="H46" s="378"/>
      <c r="I46" s="378"/>
      <c r="J46" s="378"/>
      <c r="K46" s="378"/>
      <c r="L46" s="378"/>
      <c r="M46" s="378"/>
      <c r="N46" s="378"/>
      <c r="O46" s="378"/>
    </row>
    <row r="47" spans="1:16" x14ac:dyDescent="0.25">
      <c r="A47" s="378"/>
      <c r="B47" s="819" t="str">
        <f>PENYELIA!B48</f>
        <v>Multiparameter Simulator, Merek : Fluke, Model : MPS 450, SN : 184633</v>
      </c>
      <c r="C47" s="378"/>
      <c r="D47" s="378"/>
      <c r="E47" s="378"/>
      <c r="F47" s="378"/>
      <c r="G47" s="378"/>
      <c r="H47" s="378"/>
      <c r="I47" s="378"/>
      <c r="J47" s="378"/>
      <c r="K47" s="378"/>
      <c r="L47" s="378"/>
      <c r="M47" s="378"/>
      <c r="N47" s="378"/>
      <c r="O47" s="378"/>
    </row>
    <row r="48" spans="1:16" x14ac:dyDescent="0.25">
      <c r="A48" s="378"/>
      <c r="B48" s="819" t="str">
        <f>IF(B42="","",PENYELIA!B49)</f>
        <v>Electrical Safety Analyzer, Merek : Fluke, Model : ESA 615, SN : 4669058</v>
      </c>
      <c r="C48" s="378"/>
      <c r="D48" s="378"/>
      <c r="E48" s="378"/>
      <c r="F48" s="378"/>
      <c r="G48" s="378"/>
      <c r="H48" s="378"/>
      <c r="I48" s="378"/>
      <c r="J48" s="378"/>
      <c r="K48" s="378"/>
      <c r="L48" s="378"/>
      <c r="M48" s="378"/>
      <c r="N48" s="378"/>
      <c r="O48" s="378"/>
    </row>
    <row r="49" spans="1:15" x14ac:dyDescent="0.25">
      <c r="A49" s="378"/>
      <c r="B49" s="378"/>
      <c r="C49" s="378"/>
      <c r="D49" s="378"/>
      <c r="E49" s="378"/>
      <c r="F49" s="378"/>
      <c r="G49" s="378"/>
      <c r="H49" s="378"/>
      <c r="I49" s="378"/>
      <c r="J49" s="378"/>
      <c r="K49" s="378"/>
      <c r="L49" s="378"/>
      <c r="M49" s="378"/>
      <c r="N49" s="378"/>
      <c r="O49" s="378"/>
    </row>
    <row r="50" spans="1:15" x14ac:dyDescent="0.25">
      <c r="A50" s="375" t="s">
        <v>77</v>
      </c>
      <c r="B50" s="375" t="str">
        <f>ID!B54</f>
        <v>Kesimpulan</v>
      </c>
      <c r="C50" s="378"/>
      <c r="D50" s="378"/>
      <c r="E50" s="378"/>
      <c r="F50" s="378"/>
      <c r="G50" s="378"/>
      <c r="H50" s="378"/>
      <c r="I50" s="378"/>
      <c r="J50" s="378"/>
      <c r="K50" s="378"/>
      <c r="L50" s="378"/>
      <c r="M50" s="378"/>
      <c r="N50" s="378"/>
      <c r="O50" s="378"/>
    </row>
    <row r="51" spans="1:15" x14ac:dyDescent="0.25">
      <c r="A51" s="378"/>
      <c r="B51" s="954" t="str">
        <f>ID!B55</f>
        <v>Alat yang dikalibrasi dalam batas toleransi dan dinyatakan LAIK PAKAI</v>
      </c>
      <c r="C51" s="954"/>
      <c r="D51" s="954"/>
      <c r="E51" s="954"/>
      <c r="F51" s="954"/>
      <c r="G51" s="954"/>
      <c r="H51" s="954"/>
      <c r="I51" s="954"/>
      <c r="J51" s="954"/>
      <c r="K51" s="954"/>
      <c r="L51" s="954"/>
      <c r="M51" s="954"/>
      <c r="N51" s="954"/>
      <c r="O51" s="378"/>
    </row>
    <row r="52" spans="1:15" x14ac:dyDescent="0.25">
      <c r="A52" s="378"/>
      <c r="B52" s="954"/>
      <c r="C52" s="954"/>
      <c r="D52" s="954"/>
      <c r="E52" s="954"/>
      <c r="F52" s="954"/>
      <c r="G52" s="954"/>
      <c r="H52" s="954"/>
      <c r="I52" s="954"/>
      <c r="J52" s="954"/>
      <c r="K52" s="954"/>
      <c r="L52" s="954"/>
      <c r="M52" s="954"/>
      <c r="N52" s="954"/>
      <c r="O52" s="378"/>
    </row>
    <row r="53" spans="1:15" x14ac:dyDescent="0.25">
      <c r="A53" s="378"/>
      <c r="B53" s="378"/>
      <c r="C53" s="378"/>
      <c r="D53" s="378"/>
      <c r="E53" s="378"/>
      <c r="F53" s="378"/>
      <c r="G53" s="378"/>
      <c r="H53" s="378"/>
      <c r="I53" s="378"/>
      <c r="J53" s="378"/>
      <c r="K53" s="378"/>
      <c r="L53" s="378"/>
      <c r="M53" s="378"/>
      <c r="N53" s="378"/>
      <c r="O53" s="378"/>
    </row>
    <row r="54" spans="1:15" x14ac:dyDescent="0.25">
      <c r="A54" s="375" t="s">
        <v>80</v>
      </c>
      <c r="B54" s="375" t="str">
        <f>PENYELIA!B54</f>
        <v>Petugas Kalibrasi</v>
      </c>
      <c r="C54" s="375"/>
      <c r="D54" s="378"/>
      <c r="E54" s="378"/>
      <c r="F54" s="378"/>
      <c r="G54" s="378"/>
      <c r="H54" s="378"/>
      <c r="I54" s="378"/>
      <c r="J54" s="378"/>
      <c r="K54" s="378"/>
      <c r="L54" s="378"/>
      <c r="M54" s="378"/>
      <c r="N54" s="378"/>
      <c r="O54" s="378"/>
    </row>
    <row r="55" spans="1:15" x14ac:dyDescent="0.25">
      <c r="A55" s="378"/>
      <c r="B55" s="378" t="str">
        <f>PENYELIA!B55</f>
        <v>Yurdha Algifari</v>
      </c>
      <c r="C55" s="378"/>
      <c r="D55" s="378"/>
      <c r="E55" s="378"/>
      <c r="F55" s="378"/>
      <c r="G55" s="378"/>
      <c r="H55" s="378"/>
      <c r="I55" s="378"/>
      <c r="J55" s="378"/>
      <c r="K55" s="378"/>
      <c r="L55" s="378"/>
      <c r="M55" s="378"/>
      <c r="N55" s="378"/>
      <c r="O55" s="378"/>
    </row>
    <row r="56" spans="1:15" x14ac:dyDescent="0.25">
      <c r="A56" s="375"/>
      <c r="B56" s="378"/>
      <c r="C56" s="375"/>
      <c r="D56" s="378"/>
      <c r="E56" s="378"/>
      <c r="F56" s="378"/>
      <c r="G56" s="378"/>
      <c r="H56" s="378"/>
      <c r="I56" s="378"/>
      <c r="J56" s="378" t="s">
        <v>205</v>
      </c>
      <c r="K56" s="378"/>
      <c r="L56" s="378"/>
      <c r="M56" s="378"/>
      <c r="N56" s="378"/>
      <c r="O56" s="378"/>
    </row>
    <row r="57" spans="1:15" ht="15.75" customHeight="1" x14ac:dyDescent="0.25">
      <c r="A57" s="378"/>
      <c r="B57" s="378"/>
      <c r="C57" s="378"/>
      <c r="D57" s="378"/>
      <c r="E57" s="378"/>
      <c r="F57" s="378"/>
      <c r="G57" s="378"/>
      <c r="H57" s="378"/>
      <c r="I57" s="378"/>
      <c r="J57" s="378" t="s">
        <v>206</v>
      </c>
      <c r="K57" s="378"/>
      <c r="L57" s="378"/>
      <c r="M57" s="378"/>
      <c r="N57" s="378"/>
      <c r="O57" s="378"/>
    </row>
    <row r="58" spans="1:15" x14ac:dyDescent="0.25">
      <c r="A58" s="378"/>
      <c r="B58" s="378"/>
      <c r="C58" s="378"/>
      <c r="D58" s="378"/>
      <c r="E58" s="378"/>
      <c r="F58" s="378"/>
      <c r="G58" s="378"/>
      <c r="H58" s="378"/>
      <c r="I58" s="378"/>
      <c r="J58" s="378" t="s">
        <v>207</v>
      </c>
      <c r="K58" s="378"/>
      <c r="L58" s="378"/>
      <c r="M58" s="378"/>
      <c r="N58" s="378"/>
      <c r="O58" s="378"/>
    </row>
    <row r="59" spans="1:15" ht="15.75" customHeight="1" x14ac:dyDescent="0.25">
      <c r="A59" s="378"/>
      <c r="B59" s="378"/>
      <c r="C59" s="378"/>
      <c r="D59" s="378"/>
      <c r="E59" s="378"/>
      <c r="F59" s="378"/>
      <c r="G59" s="378"/>
      <c r="H59" s="378"/>
      <c r="I59" s="378"/>
      <c r="J59" s="378"/>
      <c r="K59" s="378"/>
      <c r="L59" s="378"/>
      <c r="M59" s="378"/>
      <c r="N59" s="378"/>
      <c r="O59" s="378"/>
    </row>
    <row r="60" spans="1:15" x14ac:dyDescent="0.25">
      <c r="A60" s="378"/>
      <c r="B60" s="378"/>
      <c r="C60" s="378"/>
      <c r="D60" s="378"/>
      <c r="E60" s="378"/>
      <c r="F60" s="378"/>
      <c r="G60" s="378"/>
      <c r="H60" s="378"/>
      <c r="I60" s="378"/>
      <c r="J60" s="378"/>
      <c r="K60" s="378"/>
      <c r="L60" s="378"/>
      <c r="M60" s="378"/>
      <c r="N60" s="378"/>
      <c r="O60" s="378"/>
    </row>
    <row r="61" spans="1:15" x14ac:dyDescent="0.25">
      <c r="A61" s="378"/>
      <c r="B61" s="378"/>
      <c r="C61" s="378"/>
      <c r="D61" s="378"/>
      <c r="E61" s="378"/>
      <c r="F61" s="378"/>
      <c r="G61" s="378"/>
      <c r="H61" s="378"/>
      <c r="I61" s="378"/>
      <c r="J61" s="378"/>
      <c r="K61" s="378"/>
      <c r="L61" s="378"/>
      <c r="M61" s="378"/>
      <c r="N61" s="378"/>
      <c r="O61" s="378"/>
    </row>
    <row r="62" spans="1:15" x14ac:dyDescent="0.25">
      <c r="A62" s="378"/>
      <c r="B62" s="378"/>
      <c r="C62" s="378"/>
      <c r="D62" s="378"/>
      <c r="E62" s="378"/>
      <c r="F62" s="378"/>
      <c r="G62" s="378"/>
      <c r="H62" s="378"/>
      <c r="I62" s="378"/>
      <c r="J62" s="378"/>
      <c r="K62" s="378"/>
      <c r="L62" s="378"/>
      <c r="M62" s="378"/>
      <c r="N62" s="378"/>
      <c r="O62" s="378"/>
    </row>
    <row r="63" spans="1:15" ht="15.75" customHeight="1" x14ac:dyDescent="0.25">
      <c r="A63" s="378"/>
      <c r="B63" s="378"/>
      <c r="C63" s="378"/>
      <c r="D63" s="378"/>
      <c r="E63" s="378"/>
      <c r="F63" s="378"/>
      <c r="G63" s="378"/>
      <c r="H63" s="378"/>
      <c r="I63" s="378"/>
      <c r="J63" s="379" t="s">
        <v>208</v>
      </c>
      <c r="K63" s="378"/>
      <c r="L63" s="378"/>
      <c r="M63" s="378"/>
      <c r="N63" s="378"/>
      <c r="O63" s="378"/>
    </row>
    <row r="64" spans="1:15" x14ac:dyDescent="0.25">
      <c r="A64" s="378"/>
      <c r="B64" s="378"/>
      <c r="C64" s="378"/>
      <c r="D64" s="378"/>
      <c r="E64" s="378"/>
      <c r="F64" s="378"/>
      <c r="G64" s="378"/>
      <c r="H64" s="378"/>
      <c r="I64" s="378"/>
      <c r="J64" s="380" t="str">
        <f>VLOOKUP(J63,Q70:R71,2,0)</f>
        <v>NIP 198008062010121001</v>
      </c>
      <c r="K64" s="378"/>
      <c r="L64" s="378"/>
      <c r="M64" s="378"/>
      <c r="N64" s="378"/>
      <c r="O64" s="378"/>
    </row>
    <row r="65" spans="1:18" ht="22.5" customHeight="1" x14ac:dyDescent="0.2">
      <c r="A65" s="378"/>
      <c r="B65" s="378"/>
      <c r="C65" s="378"/>
      <c r="D65" s="378"/>
      <c r="E65" s="378"/>
      <c r="F65" s="378"/>
      <c r="G65" s="378"/>
      <c r="H65" s="378"/>
      <c r="I65" s="378"/>
      <c r="J65" s="378"/>
      <c r="K65" s="378"/>
      <c r="L65" s="378"/>
      <c r="M65" s="378"/>
      <c r="N65" s="378"/>
      <c r="O65" s="381" t="s">
        <v>209</v>
      </c>
    </row>
    <row r="70" spans="1:18" x14ac:dyDescent="0.35">
      <c r="Q70" s="275" t="s">
        <v>117</v>
      </c>
      <c r="R70" s="276" t="s">
        <v>210</v>
      </c>
    </row>
    <row r="71" spans="1:18" x14ac:dyDescent="0.25">
      <c r="K71" s="190"/>
      <c r="Q71" s="278" t="s">
        <v>208</v>
      </c>
      <c r="R71" s="276" t="s">
        <v>211</v>
      </c>
    </row>
    <row r="73" spans="1:18" x14ac:dyDescent="0.25">
      <c r="M73" s="277"/>
    </row>
    <row r="74" spans="1:18" ht="15.75" customHeight="1" x14ac:dyDescent="0.25">
      <c r="A74" s="273"/>
      <c r="B74" s="273"/>
      <c r="C74" s="273"/>
      <c r="D74" s="273"/>
      <c r="E74" s="273"/>
      <c r="F74" s="273"/>
      <c r="G74" s="273"/>
      <c r="H74" s="273"/>
      <c r="I74" s="273"/>
      <c r="J74" s="273"/>
      <c r="K74" s="273"/>
      <c r="N74" s="273"/>
    </row>
    <row r="75" spans="1:18" ht="15.75" customHeight="1" x14ac:dyDescent="0.25">
      <c r="N75" s="273"/>
    </row>
    <row r="76" spans="1:18" ht="15.75" customHeight="1" x14ac:dyDescent="0.25">
      <c r="N76" s="273"/>
    </row>
    <row r="77" spans="1:18" ht="12" customHeight="1" x14ac:dyDescent="0.25"/>
    <row r="110" spans="15:15" ht="408.75" customHeight="1" x14ac:dyDescent="0.2">
      <c r="O110" s="274"/>
    </row>
    <row r="123" spans="3:4" x14ac:dyDescent="0.35">
      <c r="C123" s="279"/>
      <c r="D123" s="279"/>
    </row>
    <row r="124" spans="3:4" x14ac:dyDescent="0.35">
      <c r="C124" s="279"/>
      <c r="D124" s="279"/>
    </row>
  </sheetData>
  <sheetProtection formatCells="0" formatColumns="0" formatRows="0" insertColumns="0" insertRows="0" deleteColumns="0" deleteRows="0"/>
  <mergeCells count="40">
    <mergeCell ref="Q13:S13"/>
    <mergeCell ref="U13:W13"/>
    <mergeCell ref="J28:K28"/>
    <mergeCell ref="C32:C33"/>
    <mergeCell ref="D32:E33"/>
    <mergeCell ref="F32:G33"/>
    <mergeCell ref="C23:I24"/>
    <mergeCell ref="L23:M24"/>
    <mergeCell ref="J23:K24"/>
    <mergeCell ref="A2:O2"/>
    <mergeCell ref="B23:B24"/>
    <mergeCell ref="A1:O1"/>
    <mergeCell ref="D38:E38"/>
    <mergeCell ref="F38:G38"/>
    <mergeCell ref="K38:L38"/>
    <mergeCell ref="J34:J38"/>
    <mergeCell ref="C34:C38"/>
    <mergeCell ref="D35:E35"/>
    <mergeCell ref="F35:G35"/>
    <mergeCell ref="K35:L35"/>
    <mergeCell ref="D36:E36"/>
    <mergeCell ref="F36:G36"/>
    <mergeCell ref="K36:L36"/>
    <mergeCell ref="D37:E37"/>
    <mergeCell ref="F37:G37"/>
    <mergeCell ref="K37:L37"/>
    <mergeCell ref="J32:J33"/>
    <mergeCell ref="B51:N52"/>
    <mergeCell ref="C25:I25"/>
    <mergeCell ref="C26:I26"/>
    <mergeCell ref="C27:I27"/>
    <mergeCell ref="J25:K25"/>
    <mergeCell ref="J26:K26"/>
    <mergeCell ref="J27:K27"/>
    <mergeCell ref="K32:L33"/>
    <mergeCell ref="D34:E34"/>
    <mergeCell ref="F34:G34"/>
    <mergeCell ref="K34:L34"/>
    <mergeCell ref="I32:I33"/>
    <mergeCell ref="B32:B33"/>
  </mergeCells>
  <dataValidations count="1">
    <dataValidation type="list" allowBlank="1" showInputMessage="1" showErrorMessage="1" sqref="J63" xr:uid="{E6D64449-3DA9-43A2-9445-9069690E5B97}">
      <formula1>$Q$70:$Q$71</formula1>
    </dataValidation>
  </dataValidations>
  <printOptions horizontalCentered="1"/>
  <pageMargins left="0.75" right="0.5" top="0.5" bottom="0.4" header="0.25" footer="0.25"/>
  <pageSetup paperSize="9" scale="61" orientation="portrait" horizontalDpi="4294967293" r:id="rId1"/>
  <headerFooter>
    <oddHeader xml:space="preserve">&amp;R&amp;"-,Regular"&amp;8KL.LHK-16/ REV : 0
</oddHeader>
    <oddFooter>&amp;C&amp;"-,Regular"&amp;8Dilarang keras mengutip/memperbanyak dan atau mempublikasikan sebagian isi sertifikat ini tanpa seijin LPFK Banjarbaru
Sertifikat ini sah apabila dibubuhi cap LPFK Banjarbaru dan ditandatangani oleh pejabat yang berwenang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14348" r:id="rId4">
          <objectPr defaultSize="0" autoPict="0" r:id="rId5">
            <anchor moveWithCells="1" sizeWithCells="1">
              <from>
                <xdr:col>12</xdr:col>
                <xdr:colOff>12700</xdr:colOff>
                <xdr:row>99</xdr:row>
                <xdr:rowOff>0</xdr:rowOff>
              </from>
              <to>
                <xdr:col>12</xdr:col>
                <xdr:colOff>355600</xdr:colOff>
                <xdr:row>99</xdr:row>
                <xdr:rowOff>0</xdr:rowOff>
              </to>
            </anchor>
          </objectPr>
        </oleObject>
      </mc:Choice>
      <mc:Fallback>
        <oleObject progId="Equation.3" shapeId="14348" r:id="rId4"/>
      </mc:Fallback>
    </mc:AlternateContent>
    <mc:AlternateContent xmlns:mc="http://schemas.openxmlformats.org/markup-compatibility/2006">
      <mc:Choice Requires="x14">
        <oleObject progId="Equation.3" shapeId="14359" r:id="rId6">
          <objectPr defaultSize="0" autoPict="0" r:id="rId7">
            <anchor moveWithCells="1" sizeWithCells="1">
              <from>
                <xdr:col>11</xdr:col>
                <xdr:colOff>12700</xdr:colOff>
                <xdr:row>25</xdr:row>
                <xdr:rowOff>0</xdr:rowOff>
              </from>
              <to>
                <xdr:col>11</xdr:col>
                <xdr:colOff>323850</xdr:colOff>
                <xdr:row>25</xdr:row>
                <xdr:rowOff>0</xdr:rowOff>
              </to>
            </anchor>
          </objectPr>
        </oleObject>
      </mc:Choice>
      <mc:Fallback>
        <oleObject progId="Equation.3" shapeId="14359" r:id="rId6"/>
      </mc:Fallback>
    </mc:AlternateContent>
    <mc:AlternateContent xmlns:mc="http://schemas.openxmlformats.org/markup-compatibility/2006">
      <mc:Choice Requires="x14">
        <oleObject progId="Equation.3" shapeId="14360" r:id="rId8">
          <objectPr defaultSize="0" autoPict="0" r:id="rId7">
            <anchor moveWithCells="1" sizeWithCells="1">
              <from>
                <xdr:col>11</xdr:col>
                <xdr:colOff>12700</xdr:colOff>
                <xdr:row>25</xdr:row>
                <xdr:rowOff>0</xdr:rowOff>
              </from>
              <to>
                <xdr:col>11</xdr:col>
                <xdr:colOff>323850</xdr:colOff>
                <xdr:row>25</xdr:row>
                <xdr:rowOff>0</xdr:rowOff>
              </to>
            </anchor>
          </objectPr>
        </oleObject>
      </mc:Choice>
      <mc:Fallback>
        <oleObject progId="Equation.3" shapeId="14360" r:id="rId8"/>
      </mc:Fallback>
    </mc:AlternateContent>
    <mc:AlternateContent xmlns:mc="http://schemas.openxmlformats.org/markup-compatibility/2006">
      <mc:Choice Requires="x14">
        <oleObject progId="Equation.3" shapeId="14361" r:id="rId9">
          <objectPr defaultSize="0" autoPict="0" r:id="rId7">
            <anchor moveWithCells="1" sizeWithCells="1">
              <from>
                <xdr:col>11</xdr:col>
                <xdr:colOff>12700</xdr:colOff>
                <xdr:row>25</xdr:row>
                <xdr:rowOff>0</xdr:rowOff>
              </from>
              <to>
                <xdr:col>11</xdr:col>
                <xdr:colOff>323850</xdr:colOff>
                <xdr:row>25</xdr:row>
                <xdr:rowOff>0</xdr:rowOff>
              </to>
            </anchor>
          </objectPr>
        </oleObject>
      </mc:Choice>
      <mc:Fallback>
        <oleObject progId="Equation.3" shapeId="14361" r:id="rId9"/>
      </mc:Fallback>
    </mc:AlternateContent>
    <mc:AlternateContent xmlns:mc="http://schemas.openxmlformats.org/markup-compatibility/2006">
      <mc:Choice Requires="x14">
        <oleObject progId="Equation.3" shapeId="14362" r:id="rId10">
          <objectPr defaultSize="0" autoPict="0" r:id="rId7">
            <anchor moveWithCells="1" sizeWithCells="1">
              <from>
                <xdr:col>11</xdr:col>
                <xdr:colOff>12700</xdr:colOff>
                <xdr:row>25</xdr:row>
                <xdr:rowOff>0</xdr:rowOff>
              </from>
              <to>
                <xdr:col>11</xdr:col>
                <xdr:colOff>323850</xdr:colOff>
                <xdr:row>25</xdr:row>
                <xdr:rowOff>0</xdr:rowOff>
              </to>
            </anchor>
          </objectPr>
        </oleObject>
      </mc:Choice>
      <mc:Fallback>
        <oleObject progId="Equation.3" shapeId="14362" r:id="rId10"/>
      </mc:Fallback>
    </mc:AlternateContent>
    <mc:AlternateContent xmlns:mc="http://schemas.openxmlformats.org/markup-compatibility/2006">
      <mc:Choice Requires="x14">
        <oleObject progId="Equation.3" shapeId="14363" r:id="rId11">
          <objectPr defaultSize="0" autoPict="0" r:id="rId7">
            <anchor moveWithCells="1" sizeWithCells="1">
              <from>
                <xdr:col>11</xdr:col>
                <xdr:colOff>12700</xdr:colOff>
                <xdr:row>25</xdr:row>
                <xdr:rowOff>0</xdr:rowOff>
              </from>
              <to>
                <xdr:col>11</xdr:col>
                <xdr:colOff>323850</xdr:colOff>
                <xdr:row>25</xdr:row>
                <xdr:rowOff>0</xdr:rowOff>
              </to>
            </anchor>
          </objectPr>
        </oleObject>
      </mc:Choice>
      <mc:Fallback>
        <oleObject progId="Equation.3" shapeId="14363" r:id="rId11"/>
      </mc:Fallback>
    </mc:AlternateContent>
    <mc:AlternateContent xmlns:mc="http://schemas.openxmlformats.org/markup-compatibility/2006">
      <mc:Choice Requires="x14">
        <oleObject progId="Equation.3" shapeId="14364" r:id="rId12">
          <objectPr defaultSize="0" autoPict="0" r:id="rId7">
            <anchor moveWithCells="1" sizeWithCells="1">
              <from>
                <xdr:col>11</xdr:col>
                <xdr:colOff>12700</xdr:colOff>
                <xdr:row>25</xdr:row>
                <xdr:rowOff>0</xdr:rowOff>
              </from>
              <to>
                <xdr:col>11</xdr:col>
                <xdr:colOff>323850</xdr:colOff>
                <xdr:row>25</xdr:row>
                <xdr:rowOff>0</xdr:rowOff>
              </to>
            </anchor>
          </objectPr>
        </oleObject>
      </mc:Choice>
      <mc:Fallback>
        <oleObject progId="Equation.3" shapeId="14364" r:id="rId12"/>
      </mc:Fallback>
    </mc:AlternateContent>
    <mc:AlternateContent xmlns:mc="http://schemas.openxmlformats.org/markup-compatibility/2006">
      <mc:Choice Requires="x14">
        <oleObject progId="Equation.3" shapeId="14365" r:id="rId13">
          <objectPr defaultSize="0" autoPict="0" r:id="rId7">
            <anchor moveWithCells="1" sizeWithCells="1">
              <from>
                <xdr:col>11</xdr:col>
                <xdr:colOff>12700</xdr:colOff>
                <xdr:row>25</xdr:row>
                <xdr:rowOff>0</xdr:rowOff>
              </from>
              <to>
                <xdr:col>11</xdr:col>
                <xdr:colOff>323850</xdr:colOff>
                <xdr:row>25</xdr:row>
                <xdr:rowOff>0</xdr:rowOff>
              </to>
            </anchor>
          </objectPr>
        </oleObject>
      </mc:Choice>
      <mc:Fallback>
        <oleObject progId="Equation.3" shapeId="14365" r:id="rId13"/>
      </mc:Fallback>
    </mc:AlternateContent>
    <mc:AlternateContent xmlns:mc="http://schemas.openxmlformats.org/markup-compatibility/2006">
      <mc:Choice Requires="x14">
        <oleObject progId="Equation.3" shapeId="14366" r:id="rId14">
          <objectPr defaultSize="0" autoPict="0" r:id="rId7">
            <anchor moveWithCells="1" sizeWithCells="1">
              <from>
                <xdr:col>11</xdr:col>
                <xdr:colOff>12700</xdr:colOff>
                <xdr:row>25</xdr:row>
                <xdr:rowOff>0</xdr:rowOff>
              </from>
              <to>
                <xdr:col>11</xdr:col>
                <xdr:colOff>323850</xdr:colOff>
                <xdr:row>25</xdr:row>
                <xdr:rowOff>0</xdr:rowOff>
              </to>
            </anchor>
          </objectPr>
        </oleObject>
      </mc:Choice>
      <mc:Fallback>
        <oleObject progId="Equation.3" shapeId="14366" r:id="rId14"/>
      </mc:Fallback>
    </mc:AlternateContent>
    <mc:AlternateContent xmlns:mc="http://schemas.openxmlformats.org/markup-compatibility/2006">
      <mc:Choice Requires="x14">
        <oleObject progId="Equation.3" shapeId="14367" r:id="rId15">
          <objectPr defaultSize="0" autoPict="0" r:id="rId7">
            <anchor moveWithCells="1" sizeWithCells="1">
              <from>
                <xdr:col>11</xdr:col>
                <xdr:colOff>12700</xdr:colOff>
                <xdr:row>25</xdr:row>
                <xdr:rowOff>0</xdr:rowOff>
              </from>
              <to>
                <xdr:col>11</xdr:col>
                <xdr:colOff>323850</xdr:colOff>
                <xdr:row>25</xdr:row>
                <xdr:rowOff>0</xdr:rowOff>
              </to>
            </anchor>
          </objectPr>
        </oleObject>
      </mc:Choice>
      <mc:Fallback>
        <oleObject progId="Equation.3" shapeId="14367" r:id="rId15"/>
      </mc:Fallback>
    </mc:AlternateContent>
    <mc:AlternateContent xmlns:mc="http://schemas.openxmlformats.org/markup-compatibility/2006">
      <mc:Choice Requires="x14">
        <oleObject progId="Equation.3" shapeId="14368" r:id="rId16">
          <objectPr defaultSize="0" autoPict="0" r:id="rId7">
            <anchor moveWithCells="1" sizeWithCells="1">
              <from>
                <xdr:col>11</xdr:col>
                <xdr:colOff>12700</xdr:colOff>
                <xdr:row>25</xdr:row>
                <xdr:rowOff>0</xdr:rowOff>
              </from>
              <to>
                <xdr:col>11</xdr:col>
                <xdr:colOff>323850</xdr:colOff>
                <xdr:row>25</xdr:row>
                <xdr:rowOff>0</xdr:rowOff>
              </to>
            </anchor>
          </objectPr>
        </oleObject>
      </mc:Choice>
      <mc:Fallback>
        <oleObject progId="Equation.3" shapeId="14368" r:id="rId16"/>
      </mc:Fallback>
    </mc:AlternateContent>
    <mc:AlternateContent xmlns:mc="http://schemas.openxmlformats.org/markup-compatibility/2006">
      <mc:Choice Requires="x14">
        <oleObject progId="Equation.3" shapeId="14369" r:id="rId17">
          <objectPr defaultSize="0" autoPict="0" r:id="rId7">
            <anchor moveWithCells="1" sizeWithCells="1">
              <from>
                <xdr:col>11</xdr:col>
                <xdr:colOff>12700</xdr:colOff>
                <xdr:row>25</xdr:row>
                <xdr:rowOff>0</xdr:rowOff>
              </from>
              <to>
                <xdr:col>11</xdr:col>
                <xdr:colOff>323850</xdr:colOff>
                <xdr:row>25</xdr:row>
                <xdr:rowOff>0</xdr:rowOff>
              </to>
            </anchor>
          </objectPr>
        </oleObject>
      </mc:Choice>
      <mc:Fallback>
        <oleObject progId="Equation.3" shapeId="14369" r:id="rId17"/>
      </mc:Fallback>
    </mc:AlternateContent>
    <mc:AlternateContent xmlns:mc="http://schemas.openxmlformats.org/markup-compatibility/2006">
      <mc:Choice Requires="x14">
        <oleObject progId="Equation.3" shapeId="14370" r:id="rId18">
          <objectPr defaultSize="0" autoPict="0" r:id="rId7">
            <anchor moveWithCells="1" sizeWithCells="1">
              <from>
                <xdr:col>11</xdr:col>
                <xdr:colOff>12700</xdr:colOff>
                <xdr:row>25</xdr:row>
                <xdr:rowOff>0</xdr:rowOff>
              </from>
              <to>
                <xdr:col>11</xdr:col>
                <xdr:colOff>323850</xdr:colOff>
                <xdr:row>25</xdr:row>
                <xdr:rowOff>0</xdr:rowOff>
              </to>
            </anchor>
          </objectPr>
        </oleObject>
      </mc:Choice>
      <mc:Fallback>
        <oleObject progId="Equation.3" shapeId="14370" r:id="rId18"/>
      </mc:Fallback>
    </mc:AlternateContent>
    <mc:AlternateContent xmlns:mc="http://schemas.openxmlformats.org/markup-compatibility/2006">
      <mc:Choice Requires="x14">
        <oleObject progId="Equation.3" shapeId="14371" r:id="rId19">
          <objectPr defaultSize="0" autoPict="0" r:id="rId7">
            <anchor moveWithCells="1" sizeWithCells="1">
              <from>
                <xdr:col>11</xdr:col>
                <xdr:colOff>12700</xdr:colOff>
                <xdr:row>25</xdr:row>
                <xdr:rowOff>0</xdr:rowOff>
              </from>
              <to>
                <xdr:col>11</xdr:col>
                <xdr:colOff>323850</xdr:colOff>
                <xdr:row>25</xdr:row>
                <xdr:rowOff>0</xdr:rowOff>
              </to>
            </anchor>
          </objectPr>
        </oleObject>
      </mc:Choice>
      <mc:Fallback>
        <oleObject progId="Equation.3" shapeId="14371" r:id="rId19"/>
      </mc:Fallback>
    </mc:AlternateContent>
    <mc:AlternateContent xmlns:mc="http://schemas.openxmlformats.org/markup-compatibility/2006">
      <mc:Choice Requires="x14">
        <oleObject progId="Equation.3" shapeId="14372" r:id="rId20">
          <objectPr defaultSize="0" autoPict="0" r:id="rId7">
            <anchor moveWithCells="1" sizeWithCells="1">
              <from>
                <xdr:col>11</xdr:col>
                <xdr:colOff>12700</xdr:colOff>
                <xdr:row>25</xdr:row>
                <xdr:rowOff>0</xdr:rowOff>
              </from>
              <to>
                <xdr:col>11</xdr:col>
                <xdr:colOff>323850</xdr:colOff>
                <xdr:row>25</xdr:row>
                <xdr:rowOff>0</xdr:rowOff>
              </to>
            </anchor>
          </objectPr>
        </oleObject>
      </mc:Choice>
      <mc:Fallback>
        <oleObject progId="Equation.3" shapeId="14372" r:id="rId20"/>
      </mc:Fallback>
    </mc:AlternateContent>
    <mc:AlternateContent xmlns:mc="http://schemas.openxmlformats.org/markup-compatibility/2006">
      <mc:Choice Requires="x14">
        <oleObject progId="Equation.3" shapeId="14373" r:id="rId21">
          <objectPr defaultSize="0" autoPict="0" r:id="rId7">
            <anchor moveWithCells="1" sizeWithCells="1">
              <from>
                <xdr:col>11</xdr:col>
                <xdr:colOff>12700</xdr:colOff>
                <xdr:row>25</xdr:row>
                <xdr:rowOff>0</xdr:rowOff>
              </from>
              <to>
                <xdr:col>11</xdr:col>
                <xdr:colOff>323850</xdr:colOff>
                <xdr:row>25</xdr:row>
                <xdr:rowOff>0</xdr:rowOff>
              </to>
            </anchor>
          </objectPr>
        </oleObject>
      </mc:Choice>
      <mc:Fallback>
        <oleObject progId="Equation.3" shapeId="14373" r:id="rId21"/>
      </mc:Fallback>
    </mc:AlternateContent>
    <mc:AlternateContent xmlns:mc="http://schemas.openxmlformats.org/markup-compatibility/2006">
      <mc:Choice Requires="x14">
        <oleObject progId="Equation.3" shapeId="14374" r:id="rId22">
          <objectPr defaultSize="0" autoPict="0" r:id="rId7">
            <anchor moveWithCells="1" sizeWithCells="1">
              <from>
                <xdr:col>11</xdr:col>
                <xdr:colOff>12700</xdr:colOff>
                <xdr:row>25</xdr:row>
                <xdr:rowOff>0</xdr:rowOff>
              </from>
              <to>
                <xdr:col>11</xdr:col>
                <xdr:colOff>323850</xdr:colOff>
                <xdr:row>25</xdr:row>
                <xdr:rowOff>0</xdr:rowOff>
              </to>
            </anchor>
          </objectPr>
        </oleObject>
      </mc:Choice>
      <mc:Fallback>
        <oleObject progId="Equation.3" shapeId="14374" r:id="rId22"/>
      </mc:Fallback>
    </mc:AlternateContent>
    <mc:AlternateContent xmlns:mc="http://schemas.openxmlformats.org/markup-compatibility/2006">
      <mc:Choice Requires="x14">
        <oleObject progId="Equation.3" shapeId="14375" r:id="rId23">
          <objectPr defaultSize="0" autoPict="0" r:id="rId7">
            <anchor moveWithCells="1" sizeWithCells="1">
              <from>
                <xdr:col>11</xdr:col>
                <xdr:colOff>12700</xdr:colOff>
                <xdr:row>25</xdr:row>
                <xdr:rowOff>0</xdr:rowOff>
              </from>
              <to>
                <xdr:col>11</xdr:col>
                <xdr:colOff>323850</xdr:colOff>
                <xdr:row>25</xdr:row>
                <xdr:rowOff>0</xdr:rowOff>
              </to>
            </anchor>
          </objectPr>
        </oleObject>
      </mc:Choice>
      <mc:Fallback>
        <oleObject progId="Equation.3" shapeId="14375" r:id="rId23"/>
      </mc:Fallback>
    </mc:AlternateContent>
    <mc:AlternateContent xmlns:mc="http://schemas.openxmlformats.org/markup-compatibility/2006">
      <mc:Choice Requires="x14">
        <oleObject progId="Equation.3" shapeId="14376" r:id="rId24">
          <objectPr defaultSize="0" autoPict="0" r:id="rId7">
            <anchor moveWithCells="1" sizeWithCells="1">
              <from>
                <xdr:col>11</xdr:col>
                <xdr:colOff>12700</xdr:colOff>
                <xdr:row>25</xdr:row>
                <xdr:rowOff>0</xdr:rowOff>
              </from>
              <to>
                <xdr:col>11</xdr:col>
                <xdr:colOff>323850</xdr:colOff>
                <xdr:row>25</xdr:row>
                <xdr:rowOff>0</xdr:rowOff>
              </to>
            </anchor>
          </objectPr>
        </oleObject>
      </mc:Choice>
      <mc:Fallback>
        <oleObject progId="Equation.3" shapeId="14376" r:id="rId24"/>
      </mc:Fallback>
    </mc:AlternateContent>
    <mc:AlternateContent xmlns:mc="http://schemas.openxmlformats.org/markup-compatibility/2006">
      <mc:Choice Requires="x14">
        <oleObject progId="Equation.3" shapeId="14377" r:id="rId25">
          <objectPr defaultSize="0" autoPict="0" r:id="rId7">
            <anchor moveWithCells="1" sizeWithCells="1">
              <from>
                <xdr:col>11</xdr:col>
                <xdr:colOff>12700</xdr:colOff>
                <xdr:row>25</xdr:row>
                <xdr:rowOff>0</xdr:rowOff>
              </from>
              <to>
                <xdr:col>11</xdr:col>
                <xdr:colOff>323850</xdr:colOff>
                <xdr:row>25</xdr:row>
                <xdr:rowOff>0</xdr:rowOff>
              </to>
            </anchor>
          </objectPr>
        </oleObject>
      </mc:Choice>
      <mc:Fallback>
        <oleObject progId="Equation.3" shapeId="14377" r:id="rId25"/>
      </mc:Fallback>
    </mc:AlternateContent>
    <mc:AlternateContent xmlns:mc="http://schemas.openxmlformats.org/markup-compatibility/2006">
      <mc:Choice Requires="x14">
        <oleObject progId="Equation.3" shapeId="14378" r:id="rId26">
          <objectPr defaultSize="0" autoPict="0" r:id="rId7">
            <anchor moveWithCells="1" sizeWithCells="1">
              <from>
                <xdr:col>11</xdr:col>
                <xdr:colOff>38100</xdr:colOff>
                <xdr:row>25</xdr:row>
                <xdr:rowOff>0</xdr:rowOff>
              </from>
              <to>
                <xdr:col>11</xdr:col>
                <xdr:colOff>323850</xdr:colOff>
                <xdr:row>25</xdr:row>
                <xdr:rowOff>0</xdr:rowOff>
              </to>
            </anchor>
          </objectPr>
        </oleObject>
      </mc:Choice>
      <mc:Fallback>
        <oleObject progId="Equation.3" shapeId="14378" r:id="rId26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F0B72-DC21-4BDB-AA3F-5DE102BCE6F8}">
  <dimension ref="A1:AB311"/>
  <sheetViews>
    <sheetView topLeftCell="E265" workbookViewId="0">
      <selection activeCell="P268" sqref="P268"/>
    </sheetView>
  </sheetViews>
  <sheetFormatPr defaultColWidth="8.7265625" defaultRowHeight="12.5" x14ac:dyDescent="0.25"/>
  <cols>
    <col min="1" max="1" width="10.26953125" style="433" bestFit="1" customWidth="1"/>
    <col min="2" max="2" width="9.54296875" style="433" bestFit="1" customWidth="1"/>
    <col min="3" max="9" width="8.7265625" style="433"/>
    <col min="10" max="10" width="10.54296875" style="433" customWidth="1"/>
    <col min="11" max="11" width="8.7265625" style="433"/>
    <col min="12" max="12" width="8.54296875" style="433" customWidth="1"/>
    <col min="13" max="13" width="12.26953125" style="433" customWidth="1"/>
    <col min="14" max="16384" width="8.7265625" style="433"/>
  </cols>
  <sheetData>
    <row r="1" spans="1:24" ht="18" x14ac:dyDescent="0.25">
      <c r="A1" s="971" t="s">
        <v>212</v>
      </c>
      <c r="B1" s="972"/>
      <c r="C1" s="972"/>
      <c r="D1" s="972"/>
      <c r="E1" s="972"/>
      <c r="F1" s="972"/>
      <c r="G1" s="972"/>
      <c r="H1" s="972"/>
      <c r="I1" s="972"/>
      <c r="J1" s="972"/>
      <c r="K1" s="972"/>
      <c r="L1" s="972"/>
      <c r="M1" s="972"/>
      <c r="N1" s="972"/>
      <c r="O1" s="972"/>
      <c r="P1" s="972"/>
      <c r="Q1" s="972"/>
      <c r="R1" s="972"/>
      <c r="S1" s="972"/>
      <c r="T1" s="972"/>
      <c r="U1" s="972"/>
      <c r="V1" s="433" t="s">
        <v>82</v>
      </c>
    </row>
    <row r="2" spans="1:24" ht="14.5" x14ac:dyDescent="0.25">
      <c r="A2" s="973" t="s">
        <v>213</v>
      </c>
      <c r="B2" s="974" t="s">
        <v>214</v>
      </c>
      <c r="C2" s="974"/>
      <c r="D2" s="974"/>
      <c r="E2" s="974"/>
      <c r="F2" s="974"/>
      <c r="G2" s="974"/>
      <c r="H2" s="975" t="s">
        <v>215</v>
      </c>
      <c r="I2" s="974" t="s">
        <v>216</v>
      </c>
      <c r="J2" s="974"/>
      <c r="K2" s="974"/>
      <c r="L2" s="974"/>
      <c r="M2" s="974"/>
      <c r="N2" s="974"/>
      <c r="O2" s="975" t="s">
        <v>217</v>
      </c>
      <c r="P2" s="974" t="s">
        <v>218</v>
      </c>
      <c r="Q2" s="974"/>
      <c r="R2" s="974"/>
      <c r="S2" s="974"/>
      <c r="T2" s="974"/>
      <c r="U2" s="974"/>
    </row>
    <row r="3" spans="1:24" ht="14" x14ac:dyDescent="0.3">
      <c r="A3" s="973"/>
      <c r="B3" s="976" t="s">
        <v>219</v>
      </c>
      <c r="C3" s="976"/>
      <c r="D3" s="976"/>
      <c r="E3" s="976"/>
      <c r="F3" s="976"/>
      <c r="G3" s="976"/>
      <c r="H3" s="975"/>
      <c r="I3" s="976" t="s">
        <v>219</v>
      </c>
      <c r="J3" s="976"/>
      <c r="K3" s="976"/>
      <c r="L3" s="976"/>
      <c r="M3" s="976"/>
      <c r="N3" s="976"/>
      <c r="O3" s="975"/>
      <c r="P3" s="977" t="s">
        <v>219</v>
      </c>
      <c r="Q3" s="977"/>
      <c r="R3" s="977"/>
      <c r="S3" s="977"/>
      <c r="T3" s="977"/>
      <c r="U3" s="977"/>
    </row>
    <row r="4" spans="1:24" ht="13" x14ac:dyDescent="0.25">
      <c r="A4" s="973"/>
      <c r="B4" s="978" t="s">
        <v>220</v>
      </c>
      <c r="C4" s="978"/>
      <c r="D4" s="978"/>
      <c r="E4" s="978"/>
      <c r="F4" s="978" t="s">
        <v>221</v>
      </c>
      <c r="G4" s="978" t="s">
        <v>222</v>
      </c>
      <c r="H4" s="975"/>
      <c r="I4" s="978" t="str">
        <f>B4</f>
        <v>Setting VAC</v>
      </c>
      <c r="J4" s="978"/>
      <c r="K4" s="978"/>
      <c r="L4" s="978"/>
      <c r="M4" s="978" t="s">
        <v>221</v>
      </c>
      <c r="N4" s="978" t="s">
        <v>222</v>
      </c>
      <c r="O4" s="975"/>
      <c r="P4" s="978" t="str">
        <f>B4</f>
        <v>Setting VAC</v>
      </c>
      <c r="Q4" s="978"/>
      <c r="R4" s="978"/>
      <c r="S4" s="978"/>
      <c r="T4" s="978" t="s">
        <v>221</v>
      </c>
      <c r="U4" s="978" t="s">
        <v>222</v>
      </c>
    </row>
    <row r="5" spans="1:24" ht="14" x14ac:dyDescent="0.25">
      <c r="A5" s="973"/>
      <c r="B5" s="544" t="s">
        <v>223</v>
      </c>
      <c r="C5" s="545">
        <v>2020</v>
      </c>
      <c r="D5" s="545">
        <v>2019</v>
      </c>
      <c r="E5" s="545">
        <v>2016</v>
      </c>
      <c r="F5" s="978"/>
      <c r="G5" s="978"/>
      <c r="H5" s="975"/>
      <c r="I5" s="544" t="s">
        <v>223</v>
      </c>
      <c r="J5" s="545">
        <v>2019</v>
      </c>
      <c r="K5" s="546">
        <v>2017</v>
      </c>
      <c r="L5" s="545">
        <v>2016</v>
      </c>
      <c r="M5" s="978"/>
      <c r="N5" s="978"/>
      <c r="O5" s="975"/>
      <c r="P5" s="544" t="s">
        <v>223</v>
      </c>
      <c r="Q5" s="545">
        <v>2022</v>
      </c>
      <c r="R5" s="545">
        <v>2021</v>
      </c>
      <c r="S5" s="545">
        <v>2018</v>
      </c>
      <c r="T5" s="978"/>
      <c r="U5" s="978"/>
      <c r="V5" s="437"/>
      <c r="W5" s="437"/>
      <c r="X5" s="435"/>
    </row>
    <row r="6" spans="1:24" x14ac:dyDescent="0.25">
      <c r="A6" s="973"/>
      <c r="B6" s="547">
        <v>150</v>
      </c>
      <c r="C6" s="547">
        <v>0.31</v>
      </c>
      <c r="D6" s="547">
        <v>0.76</v>
      </c>
      <c r="E6" s="547"/>
      <c r="F6" s="547">
        <f t="shared" ref="F6:F11" si="0">0.5*(MAX(C6:E6)-MIN(C6:E6))</f>
        <v>0.22500000000000001</v>
      </c>
      <c r="G6" s="547">
        <f t="shared" ref="G6:G11" si="1">(1.2/100)*B6</f>
        <v>1.8</v>
      </c>
      <c r="H6" s="975"/>
      <c r="I6" s="547">
        <v>150</v>
      </c>
      <c r="J6" s="547">
        <v>0.15</v>
      </c>
      <c r="K6" s="547">
        <v>0.23</v>
      </c>
      <c r="L6" s="547"/>
      <c r="M6" s="547">
        <f t="shared" ref="M6:M11" si="2">0.5*(MAX(J6:L6)-MIN(J6:L6))</f>
        <v>4.0000000000000008E-2</v>
      </c>
      <c r="N6" s="547">
        <f>(1.2/100)*I6</f>
        <v>1.8</v>
      </c>
      <c r="O6" s="975"/>
      <c r="P6" s="547">
        <v>150</v>
      </c>
      <c r="Q6" s="547">
        <v>-1.43</v>
      </c>
      <c r="R6" s="547">
        <v>-1.6</v>
      </c>
      <c r="S6" s="547">
        <v>-7.0000000000000007E-2</v>
      </c>
      <c r="T6" s="547">
        <f t="shared" ref="T6:T11" si="3">0.5*(MAX(Q6:S6)-MIN(Q6:S6))</f>
        <v>0.76500000000000001</v>
      </c>
      <c r="U6" s="547">
        <f t="shared" ref="U6:U11" si="4">(1.2/100)*P6</f>
        <v>1.8</v>
      </c>
      <c r="V6" s="39"/>
      <c r="W6" s="550"/>
      <c r="X6" s="435"/>
    </row>
    <row r="7" spans="1:24" x14ac:dyDescent="0.25">
      <c r="A7" s="973"/>
      <c r="B7" s="547">
        <v>180</v>
      </c>
      <c r="C7" s="547">
        <v>0.1</v>
      </c>
      <c r="D7" s="547">
        <v>-0.03</v>
      </c>
      <c r="E7" s="547"/>
      <c r="F7" s="547">
        <f t="shared" si="0"/>
        <v>6.5000000000000002E-2</v>
      </c>
      <c r="G7" s="547">
        <f t="shared" si="1"/>
        <v>2.16</v>
      </c>
      <c r="H7" s="975"/>
      <c r="I7" s="547">
        <v>180</v>
      </c>
      <c r="J7" s="547">
        <v>0.12</v>
      </c>
      <c r="K7" s="547">
        <v>-0.06</v>
      </c>
      <c r="L7" s="547"/>
      <c r="M7" s="547">
        <f t="shared" si="2"/>
        <v>0.09</v>
      </c>
      <c r="N7" s="547">
        <f>(1.2/100)*I7</f>
        <v>2.16</v>
      </c>
      <c r="O7" s="975"/>
      <c r="P7" s="547">
        <v>180</v>
      </c>
      <c r="Q7" s="547">
        <v>-1.81</v>
      </c>
      <c r="R7" s="547">
        <v>-1.9</v>
      </c>
      <c r="S7" s="547">
        <v>-0.13</v>
      </c>
      <c r="T7" s="547">
        <f t="shared" si="3"/>
        <v>0.88500000000000001</v>
      </c>
      <c r="U7" s="547">
        <f t="shared" si="4"/>
        <v>2.16</v>
      </c>
      <c r="V7" s="39"/>
      <c r="W7" s="550"/>
      <c r="X7" s="435"/>
    </row>
    <row r="8" spans="1:24" x14ac:dyDescent="0.25">
      <c r="A8" s="973"/>
      <c r="B8" s="112">
        <v>200</v>
      </c>
      <c r="C8" s="547">
        <v>-0.04</v>
      </c>
      <c r="D8" s="547">
        <v>-0.16</v>
      </c>
      <c r="E8" s="547"/>
      <c r="F8" s="547">
        <f t="shared" si="0"/>
        <v>0.06</v>
      </c>
      <c r="G8" s="547">
        <f t="shared" si="1"/>
        <v>2.4</v>
      </c>
      <c r="H8" s="975"/>
      <c r="I8" s="112">
        <v>200</v>
      </c>
      <c r="J8" s="547">
        <v>0.06</v>
      </c>
      <c r="K8" s="547">
        <v>-0.18</v>
      </c>
      <c r="L8" s="547"/>
      <c r="M8" s="547">
        <f t="shared" si="2"/>
        <v>0.12</v>
      </c>
      <c r="N8" s="547">
        <f>(1.2/100)*I8</f>
        <v>2.4</v>
      </c>
      <c r="O8" s="975"/>
      <c r="P8" s="547">
        <v>200</v>
      </c>
      <c r="Q8" s="547">
        <v>-2.0499999999999998</v>
      </c>
      <c r="R8" s="547">
        <v>-2.14</v>
      </c>
      <c r="S8" s="547">
        <v>-0.26</v>
      </c>
      <c r="T8" s="547">
        <f t="shared" si="3"/>
        <v>0.94000000000000006</v>
      </c>
      <c r="U8" s="547">
        <f t="shared" si="4"/>
        <v>2.4</v>
      </c>
      <c r="V8" s="39"/>
      <c r="W8" s="550"/>
      <c r="X8" s="435"/>
    </row>
    <row r="9" spans="1:24" x14ac:dyDescent="0.25">
      <c r="A9" s="973"/>
      <c r="B9" s="112">
        <v>220</v>
      </c>
      <c r="C9" s="547">
        <v>-0.28000000000000003</v>
      </c>
      <c r="D9" s="547">
        <v>-0.18</v>
      </c>
      <c r="E9" s="547"/>
      <c r="F9" s="547">
        <f t="shared" si="0"/>
        <v>5.0000000000000017E-2</v>
      </c>
      <c r="G9" s="547">
        <f t="shared" si="1"/>
        <v>2.64</v>
      </c>
      <c r="H9" s="975"/>
      <c r="I9" s="112">
        <v>220</v>
      </c>
      <c r="J9" s="547">
        <v>0.05</v>
      </c>
      <c r="K9" s="547">
        <v>-0.03</v>
      </c>
      <c r="L9" s="547"/>
      <c r="M9" s="547">
        <f t="shared" si="2"/>
        <v>0.04</v>
      </c>
      <c r="N9" s="547">
        <f>(1.2/100)*I9</f>
        <v>2.64</v>
      </c>
      <c r="O9" s="975"/>
      <c r="P9" s="705">
        <v>220</v>
      </c>
      <c r="Q9" s="547">
        <v>-2.29</v>
      </c>
      <c r="R9" s="547">
        <v>-3.44</v>
      </c>
      <c r="S9" s="547">
        <v>-0.28999999999999998</v>
      </c>
      <c r="T9" s="547">
        <f t="shared" si="3"/>
        <v>1.575</v>
      </c>
      <c r="U9" s="547">
        <f t="shared" si="4"/>
        <v>2.64</v>
      </c>
      <c r="V9" s="39"/>
      <c r="W9" s="550"/>
      <c r="X9" s="435"/>
    </row>
    <row r="10" spans="1:24" x14ac:dyDescent="0.25">
      <c r="A10" s="973"/>
      <c r="B10" s="112">
        <v>230</v>
      </c>
      <c r="C10" s="547">
        <v>-0.2</v>
      </c>
      <c r="D10" s="547">
        <v>-0.26</v>
      </c>
      <c r="E10" s="547"/>
      <c r="F10" s="547">
        <f t="shared" si="0"/>
        <v>0.03</v>
      </c>
      <c r="G10" s="547">
        <f t="shared" si="1"/>
        <v>2.7600000000000002</v>
      </c>
      <c r="H10" s="975"/>
      <c r="I10" s="112">
        <v>230</v>
      </c>
      <c r="J10" s="547">
        <v>9.9999999999999995E-7</v>
      </c>
      <c r="K10" s="547">
        <v>0.05</v>
      </c>
      <c r="L10" s="547"/>
      <c r="M10" s="547">
        <f t="shared" si="2"/>
        <v>2.4999500000000001E-2</v>
      </c>
      <c r="N10" s="547">
        <f>(1.2/100)*I10</f>
        <v>2.7600000000000002</v>
      </c>
      <c r="O10" s="975"/>
      <c r="P10" s="705">
        <v>230</v>
      </c>
      <c r="Q10" s="547">
        <v>-11.79</v>
      </c>
      <c r="R10" s="547">
        <v>-2.52</v>
      </c>
      <c r="S10" s="547">
        <v>-0.23</v>
      </c>
      <c r="T10" s="547">
        <f t="shared" si="3"/>
        <v>5.7799999999999994</v>
      </c>
      <c r="U10" s="547">
        <f t="shared" si="4"/>
        <v>2.7600000000000002</v>
      </c>
      <c r="V10" s="39"/>
      <c r="W10" s="550"/>
      <c r="X10" s="435"/>
    </row>
    <row r="11" spans="1:24" x14ac:dyDescent="0.25">
      <c r="A11" s="973"/>
      <c r="B11" s="112">
        <v>250</v>
      </c>
      <c r="C11" s="547">
        <v>-0.32</v>
      </c>
      <c r="D11" s="547">
        <v>9.9999999999999995E-7</v>
      </c>
      <c r="E11" s="547"/>
      <c r="F11" s="547">
        <f t="shared" si="0"/>
        <v>0.16000049999999999</v>
      </c>
      <c r="G11" s="547">
        <f t="shared" si="1"/>
        <v>3</v>
      </c>
      <c r="H11" s="975"/>
      <c r="I11" s="112">
        <v>250</v>
      </c>
      <c r="J11" s="547">
        <v>9.9999999999999995E-7</v>
      </c>
      <c r="K11" s="547">
        <v>9.9999999999999995E-7</v>
      </c>
      <c r="L11" s="547"/>
      <c r="M11" s="547">
        <f t="shared" si="2"/>
        <v>0</v>
      </c>
      <c r="N11" s="547">
        <v>2.76</v>
      </c>
      <c r="O11" s="975"/>
      <c r="P11" s="705">
        <v>250</v>
      </c>
      <c r="Q11" s="547">
        <v>9.9999999999999995E-7</v>
      </c>
      <c r="R11" s="547">
        <v>9.9999999999999995E-7</v>
      </c>
      <c r="S11" s="547">
        <v>9.9999999999999995E-7</v>
      </c>
      <c r="T11" s="547">
        <f t="shared" si="3"/>
        <v>0</v>
      </c>
      <c r="U11" s="547">
        <f t="shared" si="4"/>
        <v>3</v>
      </c>
      <c r="V11" s="39"/>
      <c r="W11" s="550"/>
      <c r="X11" s="435"/>
    </row>
    <row r="12" spans="1:24" ht="13" customHeight="1" x14ac:dyDescent="0.25">
      <c r="A12" s="973"/>
      <c r="B12" s="979" t="s">
        <v>224</v>
      </c>
      <c r="C12" s="979"/>
      <c r="D12" s="979"/>
      <c r="E12" s="979"/>
      <c r="F12" s="978" t="s">
        <v>221</v>
      </c>
      <c r="G12" s="980" t="s">
        <v>222</v>
      </c>
      <c r="H12" s="975"/>
      <c r="I12" s="979" t="str">
        <f>B12</f>
        <v>Current Leakage</v>
      </c>
      <c r="J12" s="979"/>
      <c r="K12" s="979"/>
      <c r="L12" s="979"/>
      <c r="M12" s="978" t="s">
        <v>221</v>
      </c>
      <c r="N12" s="978" t="s">
        <v>222</v>
      </c>
      <c r="O12" s="975"/>
      <c r="P12" s="982" t="str">
        <f>B12</f>
        <v>Current Leakage</v>
      </c>
      <c r="Q12" s="983"/>
      <c r="R12" s="983"/>
      <c r="S12" s="984"/>
      <c r="T12" s="985" t="s">
        <v>221</v>
      </c>
      <c r="U12" s="985" t="s">
        <v>222</v>
      </c>
      <c r="V12" s="435"/>
      <c r="W12" s="435"/>
      <c r="X12" s="435"/>
    </row>
    <row r="13" spans="1:24" ht="14" x14ac:dyDescent="0.25">
      <c r="A13" s="973"/>
      <c r="B13" s="544" t="s">
        <v>225</v>
      </c>
      <c r="C13" s="545">
        <f>C5</f>
        <v>2020</v>
      </c>
      <c r="D13" s="545">
        <f>D5</f>
        <v>2019</v>
      </c>
      <c r="E13" s="545">
        <f>E5</f>
        <v>2016</v>
      </c>
      <c r="F13" s="978"/>
      <c r="G13" s="981"/>
      <c r="H13" s="975"/>
      <c r="I13" s="544" t="s">
        <v>225</v>
      </c>
      <c r="J13" s="545">
        <f>J5</f>
        <v>2019</v>
      </c>
      <c r="K13" s="545">
        <f>K5</f>
        <v>2017</v>
      </c>
      <c r="L13" s="545">
        <f>L5</f>
        <v>2016</v>
      </c>
      <c r="M13" s="978"/>
      <c r="N13" s="978"/>
      <c r="O13" s="975"/>
      <c r="P13" s="703" t="s">
        <v>225</v>
      </c>
      <c r="Q13" s="704">
        <f>Q5</f>
        <v>2022</v>
      </c>
      <c r="R13" s="704">
        <f>R5</f>
        <v>2021</v>
      </c>
      <c r="S13" s="704">
        <f>S5</f>
        <v>2018</v>
      </c>
      <c r="T13" s="986"/>
      <c r="U13" s="986"/>
      <c r="V13" s="435"/>
      <c r="W13" s="435"/>
      <c r="X13" s="435"/>
    </row>
    <row r="14" spans="1:24" x14ac:dyDescent="0.25">
      <c r="A14" s="973"/>
      <c r="B14" s="112">
        <v>0</v>
      </c>
      <c r="C14" s="112">
        <v>9.9999999999999995E-7</v>
      </c>
      <c r="D14" s="112">
        <v>9.9999999999999995E-7</v>
      </c>
      <c r="E14" s="480"/>
      <c r="F14" s="548">
        <f t="shared" ref="F14:F19" si="5">0.5*(MAX(C14:E14)-MIN(C14:E14))</f>
        <v>0</v>
      </c>
      <c r="G14" s="547">
        <v>0.3</v>
      </c>
      <c r="H14" s="975"/>
      <c r="I14" s="112">
        <v>0</v>
      </c>
      <c r="J14" s="112">
        <v>9.9999999999999995E-7</v>
      </c>
      <c r="K14" s="112">
        <v>9.9999999999999995E-7</v>
      </c>
      <c r="L14" s="480"/>
      <c r="M14" s="548">
        <f t="shared" ref="M14:M19" si="6">0.5*(MAX(J14:L14)-MIN(J14:L14))</f>
        <v>0</v>
      </c>
      <c r="N14" s="547">
        <v>0.3</v>
      </c>
      <c r="O14" s="975"/>
      <c r="P14" s="705">
        <v>9.9999999999999995E-7</v>
      </c>
      <c r="Q14" s="705">
        <v>9.9999999999999995E-7</v>
      </c>
      <c r="R14" s="705">
        <v>9.9999999999999995E-7</v>
      </c>
      <c r="S14" s="705">
        <v>9.9999999999999995E-7</v>
      </c>
      <c r="T14" s="548">
        <f t="shared" ref="T14:T19" si="7">0.5*(MAX(Q14:S14)-MIN(Q14:S14))</f>
        <v>0</v>
      </c>
      <c r="U14" s="705">
        <f t="shared" ref="U14:U19" si="8">(0.59/100)*P14</f>
        <v>5.8999999999999999E-9</v>
      </c>
      <c r="V14" s="435"/>
      <c r="W14" s="435"/>
      <c r="X14" s="435"/>
    </row>
    <row r="15" spans="1:24" x14ac:dyDescent="0.25">
      <c r="A15" s="973"/>
      <c r="B15" s="112">
        <v>50</v>
      </c>
      <c r="C15" s="112">
        <v>0.1</v>
      </c>
      <c r="D15" s="112">
        <v>-0.06</v>
      </c>
      <c r="E15" s="480"/>
      <c r="F15" s="548">
        <f t="shared" si="5"/>
        <v>0.08</v>
      </c>
      <c r="G15" s="547">
        <f>(0.59/100)*B15</f>
        <v>0.29499999999999998</v>
      </c>
      <c r="H15" s="975"/>
      <c r="I15" s="112">
        <v>50</v>
      </c>
      <c r="J15" s="549">
        <v>-0.08</v>
      </c>
      <c r="K15" s="549">
        <v>0.1</v>
      </c>
      <c r="L15" s="480"/>
      <c r="M15" s="548">
        <f t="shared" si="6"/>
        <v>0.09</v>
      </c>
      <c r="N15" s="547">
        <f>(0.59/100)*I15</f>
        <v>0.29499999999999998</v>
      </c>
      <c r="O15" s="975"/>
      <c r="P15" s="705">
        <v>50</v>
      </c>
      <c r="Q15" s="549">
        <v>9.1</v>
      </c>
      <c r="R15" s="549">
        <v>-0.62</v>
      </c>
      <c r="S15" s="549">
        <v>2</v>
      </c>
      <c r="T15" s="548">
        <f t="shared" si="7"/>
        <v>4.8599999999999994</v>
      </c>
      <c r="U15" s="705">
        <f t="shared" si="8"/>
        <v>0.29499999999999998</v>
      </c>
      <c r="V15" s="435"/>
      <c r="W15" s="435"/>
      <c r="X15" s="435"/>
    </row>
    <row r="16" spans="1:24" x14ac:dyDescent="0.25">
      <c r="A16" s="973"/>
      <c r="B16" s="112">
        <v>100</v>
      </c>
      <c r="C16" s="112">
        <v>0.2</v>
      </c>
      <c r="D16" s="112">
        <v>-0.06</v>
      </c>
      <c r="E16" s="480"/>
      <c r="F16" s="548">
        <f t="shared" si="5"/>
        <v>0.13</v>
      </c>
      <c r="G16" s="547">
        <f>(0.59/100)*B16</f>
        <v>0.59</v>
      </c>
      <c r="H16" s="975"/>
      <c r="I16" s="112">
        <v>100</v>
      </c>
      <c r="J16" s="112">
        <v>-7.0000000000000007E-2</v>
      </c>
      <c r="K16" s="112">
        <v>2.2000000000000002</v>
      </c>
      <c r="L16" s="480"/>
      <c r="M16" s="548">
        <f t="shared" si="6"/>
        <v>1.135</v>
      </c>
      <c r="N16" s="547">
        <f>(0.59/100)*I16</f>
        <v>0.59</v>
      </c>
      <c r="O16" s="975"/>
      <c r="P16" s="705">
        <v>100</v>
      </c>
      <c r="Q16" s="549">
        <v>6</v>
      </c>
      <c r="R16" s="549">
        <v>-0.22</v>
      </c>
      <c r="S16" s="549">
        <v>2</v>
      </c>
      <c r="T16" s="548">
        <f t="shared" si="7"/>
        <v>3.11</v>
      </c>
      <c r="U16" s="705">
        <f t="shared" si="8"/>
        <v>0.59</v>
      </c>
      <c r="V16" s="435"/>
      <c r="W16" s="435"/>
      <c r="X16" s="435"/>
    </row>
    <row r="17" spans="1:28" x14ac:dyDescent="0.25">
      <c r="A17" s="973"/>
      <c r="B17" s="112">
        <v>200</v>
      </c>
      <c r="C17" s="112">
        <v>0.4</v>
      </c>
      <c r="D17" s="112">
        <v>9.9999999999999995E-7</v>
      </c>
      <c r="E17" s="480"/>
      <c r="F17" s="548">
        <f t="shared" si="5"/>
        <v>0.19999950000000002</v>
      </c>
      <c r="G17" s="547">
        <f>(0.59/100)*B17</f>
        <v>1.18</v>
      </c>
      <c r="H17" s="975"/>
      <c r="I17" s="112">
        <v>200</v>
      </c>
      <c r="J17" s="549">
        <v>-0.1</v>
      </c>
      <c r="K17" s="549">
        <v>3.3</v>
      </c>
      <c r="L17" s="480"/>
      <c r="M17" s="548">
        <f t="shared" si="6"/>
        <v>1.7</v>
      </c>
      <c r="N17" s="547">
        <f>(0.59/100)*I17</f>
        <v>1.18</v>
      </c>
      <c r="O17" s="975"/>
      <c r="P17" s="705">
        <v>200</v>
      </c>
      <c r="Q17" s="549">
        <v>-3.6</v>
      </c>
      <c r="R17" s="549">
        <v>-0.1</v>
      </c>
      <c r="S17" s="549">
        <v>3.6</v>
      </c>
      <c r="T17" s="548">
        <f t="shared" si="7"/>
        <v>3.6</v>
      </c>
      <c r="U17" s="705">
        <f t="shared" si="8"/>
        <v>1.18</v>
      </c>
      <c r="V17" s="435"/>
      <c r="W17" s="435"/>
      <c r="X17" s="435"/>
    </row>
    <row r="18" spans="1:28" ht="13" x14ac:dyDescent="0.3">
      <c r="A18" s="973"/>
      <c r="B18" s="112">
        <v>500</v>
      </c>
      <c r="C18" s="112">
        <v>3.8</v>
      </c>
      <c r="D18" s="112">
        <v>-0.9</v>
      </c>
      <c r="E18" s="480"/>
      <c r="F18" s="548">
        <f t="shared" si="5"/>
        <v>2.35</v>
      </c>
      <c r="G18" s="547">
        <f>(0.59/100)*B18</f>
        <v>2.9499999999999997</v>
      </c>
      <c r="H18" s="975"/>
      <c r="I18" s="112">
        <v>500</v>
      </c>
      <c r="J18" s="549">
        <v>0.8</v>
      </c>
      <c r="K18" s="549">
        <v>2</v>
      </c>
      <c r="L18" s="480"/>
      <c r="M18" s="548">
        <f t="shared" si="6"/>
        <v>0.6</v>
      </c>
      <c r="N18" s="547">
        <f>(0.59/100)*I18</f>
        <v>2.9499999999999997</v>
      </c>
      <c r="O18" s="975"/>
      <c r="P18" s="705">
        <v>500</v>
      </c>
      <c r="Q18" s="549">
        <v>-18.8</v>
      </c>
      <c r="R18" s="549">
        <v>-1.1000000000000001</v>
      </c>
      <c r="S18" s="549">
        <v>2.9</v>
      </c>
      <c r="T18" s="548">
        <f t="shared" si="7"/>
        <v>10.85</v>
      </c>
      <c r="U18" s="705">
        <f t="shared" si="8"/>
        <v>2.9499999999999997</v>
      </c>
      <c r="V18" s="435"/>
      <c r="W18" s="435"/>
      <c r="X18" s="435"/>
      <c r="AB18" s="551"/>
    </row>
    <row r="19" spans="1:28" x14ac:dyDescent="0.25">
      <c r="A19" s="973"/>
      <c r="B19" s="112">
        <v>1000</v>
      </c>
      <c r="C19" s="112">
        <v>9.9999999999999995E-7</v>
      </c>
      <c r="D19" s="112">
        <v>9.9999999999999995E-7</v>
      </c>
      <c r="E19" s="480"/>
      <c r="F19" s="548">
        <f t="shared" si="5"/>
        <v>0</v>
      </c>
      <c r="G19" s="547">
        <v>2.95</v>
      </c>
      <c r="H19" s="975"/>
      <c r="I19" s="112">
        <v>1000</v>
      </c>
      <c r="J19" s="112">
        <v>9.9999999999999995E-7</v>
      </c>
      <c r="K19" s="112">
        <v>9.9999999999999995E-7</v>
      </c>
      <c r="L19" s="480"/>
      <c r="M19" s="548">
        <f t="shared" si="6"/>
        <v>0</v>
      </c>
      <c r="N19" s="547">
        <v>2.95</v>
      </c>
      <c r="O19" s="975"/>
      <c r="P19" s="705">
        <v>1000</v>
      </c>
      <c r="Q19" s="549">
        <v>-47</v>
      </c>
      <c r="R19" s="549">
        <v>3</v>
      </c>
      <c r="S19" s="549">
        <v>3</v>
      </c>
      <c r="T19" s="548">
        <f t="shared" si="7"/>
        <v>25</v>
      </c>
      <c r="U19" s="705">
        <f t="shared" si="8"/>
        <v>5.8999999999999995</v>
      </c>
      <c r="V19" s="435"/>
      <c r="W19" s="435"/>
      <c r="X19" s="435"/>
    </row>
    <row r="20" spans="1:28" ht="13" x14ac:dyDescent="0.25">
      <c r="A20" s="973"/>
      <c r="B20" s="979" t="s">
        <v>226</v>
      </c>
      <c r="C20" s="979"/>
      <c r="D20" s="979"/>
      <c r="E20" s="979"/>
      <c r="F20" s="978" t="s">
        <v>221</v>
      </c>
      <c r="G20" s="980" t="s">
        <v>222</v>
      </c>
      <c r="H20" s="975"/>
      <c r="I20" s="979" t="str">
        <f>B20</f>
        <v>Main-PE</v>
      </c>
      <c r="J20" s="979"/>
      <c r="K20" s="979"/>
      <c r="L20" s="979"/>
      <c r="M20" s="978" t="s">
        <v>221</v>
      </c>
      <c r="N20" s="978" t="s">
        <v>222</v>
      </c>
      <c r="O20" s="975"/>
      <c r="P20" s="979" t="str">
        <f>B20</f>
        <v>Main-PE</v>
      </c>
      <c r="Q20" s="979"/>
      <c r="R20" s="979"/>
      <c r="S20" s="979"/>
      <c r="T20" s="978" t="s">
        <v>221</v>
      </c>
      <c r="U20" s="978" t="s">
        <v>222</v>
      </c>
      <c r="V20" s="435"/>
      <c r="W20" s="435"/>
      <c r="X20" s="435"/>
    </row>
    <row r="21" spans="1:28" ht="14.5" x14ac:dyDescent="0.25">
      <c r="A21" s="973"/>
      <c r="B21" s="544" t="s">
        <v>227</v>
      </c>
      <c r="C21" s="545">
        <f>C5</f>
        <v>2020</v>
      </c>
      <c r="D21" s="545">
        <f>D5</f>
        <v>2019</v>
      </c>
      <c r="E21" s="545">
        <f>E5</f>
        <v>2016</v>
      </c>
      <c r="F21" s="978"/>
      <c r="G21" s="981"/>
      <c r="H21" s="975"/>
      <c r="I21" s="544" t="s">
        <v>227</v>
      </c>
      <c r="J21" s="545">
        <f>J5</f>
        <v>2019</v>
      </c>
      <c r="K21" s="545">
        <f>K5</f>
        <v>2017</v>
      </c>
      <c r="L21" s="545">
        <f>L5</f>
        <v>2016</v>
      </c>
      <c r="M21" s="978"/>
      <c r="N21" s="978"/>
      <c r="O21" s="975"/>
      <c r="P21" s="544" t="s">
        <v>227</v>
      </c>
      <c r="Q21" s="545">
        <f>Q5</f>
        <v>2022</v>
      </c>
      <c r="R21" s="545">
        <f>R5</f>
        <v>2021</v>
      </c>
      <c r="S21" s="545">
        <f>S5</f>
        <v>2018</v>
      </c>
      <c r="T21" s="978"/>
      <c r="U21" s="978"/>
      <c r="V21" s="435"/>
      <c r="W21" s="435"/>
      <c r="X21" s="435"/>
    </row>
    <row r="22" spans="1:28" x14ac:dyDescent="0.25">
      <c r="A22" s="973"/>
      <c r="B22" s="112">
        <v>10</v>
      </c>
      <c r="C22" s="112">
        <v>-1E-3</v>
      </c>
      <c r="D22" s="112">
        <v>9.9999999999999995E-7</v>
      </c>
      <c r="E22" s="480"/>
      <c r="F22" s="548">
        <f>0.5*(MAX(C22:E22)-MIN(C22:E22))</f>
        <v>5.0049999999999997E-4</v>
      </c>
      <c r="G22" s="547">
        <v>0</v>
      </c>
      <c r="H22" s="975"/>
      <c r="I22" s="112">
        <v>10</v>
      </c>
      <c r="J22" s="112">
        <v>0.1</v>
      </c>
      <c r="K22" s="112">
        <v>9.9999999999999995E-7</v>
      </c>
      <c r="L22" s="480"/>
      <c r="M22" s="548">
        <f>0.5*(MAX(J22:L22)-MIN(J22:L22))</f>
        <v>4.9999500000000002E-2</v>
      </c>
      <c r="N22" s="547">
        <f>(0.59/100)*I22</f>
        <v>5.8999999999999997E-2</v>
      </c>
      <c r="O22" s="975"/>
      <c r="P22" s="112">
        <v>5</v>
      </c>
      <c r="Q22" s="549">
        <v>9.9999999999999995E-7</v>
      </c>
      <c r="R22" s="549">
        <v>9.9999999999999995E-7</v>
      </c>
      <c r="S22" s="549">
        <v>9.9999999999999995E-7</v>
      </c>
      <c r="T22" s="548">
        <f>0.5*(MAX(Q22:S22)-MIN(Q22:S22))</f>
        <v>0</v>
      </c>
      <c r="U22" s="112">
        <f>(1.7/100)*P22</f>
        <v>8.5000000000000006E-2</v>
      </c>
      <c r="V22" s="435"/>
      <c r="W22" s="435"/>
      <c r="X22" s="435"/>
    </row>
    <row r="23" spans="1:28" x14ac:dyDescent="0.25">
      <c r="A23" s="973"/>
      <c r="B23" s="112">
        <v>20</v>
      </c>
      <c r="C23" s="112">
        <v>9.9999999999999995E-7</v>
      </c>
      <c r="D23" s="112">
        <v>9.9999999999999995E-7</v>
      </c>
      <c r="E23" s="480"/>
      <c r="F23" s="548">
        <f>0.5*(MAX(C23:E23)-MIN(C23:E23))</f>
        <v>0</v>
      </c>
      <c r="G23" s="547">
        <v>0</v>
      </c>
      <c r="H23" s="975"/>
      <c r="I23" s="112">
        <v>20</v>
      </c>
      <c r="J23" s="112">
        <v>0.2</v>
      </c>
      <c r="K23" s="112">
        <v>0.1</v>
      </c>
      <c r="L23" s="480"/>
      <c r="M23" s="548">
        <f>0.5*(MAX(J23:L23)-MIN(J23:L23))</f>
        <v>0.05</v>
      </c>
      <c r="N23" s="547">
        <f>(0.59/100)*I23</f>
        <v>0.11799999999999999</v>
      </c>
      <c r="O23" s="975"/>
      <c r="P23" s="112">
        <v>10</v>
      </c>
      <c r="Q23" s="549">
        <v>9.9999999999999995E-7</v>
      </c>
      <c r="R23" s="549">
        <v>9.9999999999999995E-7</v>
      </c>
      <c r="S23" s="549">
        <v>9.9999999999999995E-7</v>
      </c>
      <c r="T23" s="548">
        <f>0.5*(MAX(Q23:S23)-MIN(Q23:S23))</f>
        <v>0</v>
      </c>
      <c r="U23" s="112">
        <f>(1.7/100)*P23</f>
        <v>0.17</v>
      </c>
      <c r="V23" s="435"/>
      <c r="W23" s="435"/>
      <c r="X23" s="435"/>
    </row>
    <row r="24" spans="1:28" x14ac:dyDescent="0.25">
      <c r="A24" s="973"/>
      <c r="B24" s="112">
        <v>50</v>
      </c>
      <c r="C24" s="112">
        <v>9.9999999999999995E-7</v>
      </c>
      <c r="D24" s="112">
        <v>9.9999999999999995E-7</v>
      </c>
      <c r="E24" s="480"/>
      <c r="F24" s="548">
        <f>0.5*(MAX(C24:E24)-MIN(C24:E24))</f>
        <v>0</v>
      </c>
      <c r="G24" s="547">
        <v>0</v>
      </c>
      <c r="H24" s="975"/>
      <c r="I24" s="112">
        <v>50</v>
      </c>
      <c r="J24" s="112">
        <v>0.3</v>
      </c>
      <c r="K24" s="112">
        <v>0.1</v>
      </c>
      <c r="L24" s="480"/>
      <c r="M24" s="548">
        <f>0.5*(MAX(J24:L24)-MIN(J24:L24))</f>
        <v>9.9999999999999992E-2</v>
      </c>
      <c r="N24" s="547">
        <f>(0.59/100)*I24</f>
        <v>0.29499999999999998</v>
      </c>
      <c r="O24" s="975"/>
      <c r="P24" s="112">
        <v>20</v>
      </c>
      <c r="Q24" s="386">
        <v>9.9999999999999995E-7</v>
      </c>
      <c r="R24" s="386">
        <v>0.4</v>
      </c>
      <c r="S24" s="386">
        <v>0.3</v>
      </c>
      <c r="T24" s="548">
        <f>0.5*(MAX(Q24:S24)-MIN(Q24:S24))</f>
        <v>0.19999950000000002</v>
      </c>
      <c r="U24" s="112">
        <f>(1.7/100)*P24</f>
        <v>0.34</v>
      </c>
      <c r="V24" s="435"/>
      <c r="W24" s="435"/>
      <c r="X24" s="435"/>
    </row>
    <row r="25" spans="1:28" x14ac:dyDescent="0.25">
      <c r="A25" s="973"/>
      <c r="B25" s="112">
        <v>100</v>
      </c>
      <c r="C25" s="112">
        <v>9.9999999999999995E-7</v>
      </c>
      <c r="D25" s="112">
        <v>9.9999999999999995E-7</v>
      </c>
      <c r="E25" s="480"/>
      <c r="F25" s="548">
        <f>0.5*(MAX(C25:E25)-MIN(C25:E25))</f>
        <v>0</v>
      </c>
      <c r="G25" s="547">
        <v>0</v>
      </c>
      <c r="H25" s="975"/>
      <c r="I25" s="112">
        <v>100</v>
      </c>
      <c r="J25" s="112">
        <v>0.3</v>
      </c>
      <c r="K25" s="112">
        <v>9.9999999999999995E-7</v>
      </c>
      <c r="L25" s="480"/>
      <c r="M25" s="548">
        <f>0.5*(MAX(J25:L25)-MIN(J25:L25))</f>
        <v>0.14999950000000001</v>
      </c>
      <c r="N25" s="547">
        <f>(0.59/100)*I25</f>
        <v>0.59</v>
      </c>
      <c r="O25" s="975"/>
      <c r="P25" s="112">
        <v>50</v>
      </c>
      <c r="Q25" s="386">
        <v>0.1</v>
      </c>
      <c r="R25" s="386">
        <v>1.1000000000000001</v>
      </c>
      <c r="S25" s="386">
        <v>0.6</v>
      </c>
      <c r="T25" s="548">
        <f>0.5*(MAX(Q25:S25)-MIN(Q25:S25))</f>
        <v>0.5</v>
      </c>
      <c r="U25" s="112">
        <f>(1.7/100)*P25</f>
        <v>0.85000000000000009</v>
      </c>
      <c r="V25" s="435"/>
      <c r="W25" s="435"/>
      <c r="X25" s="435"/>
    </row>
    <row r="26" spans="1:28" ht="13" customHeight="1" x14ac:dyDescent="0.25">
      <c r="A26" s="973"/>
      <c r="B26" s="979" t="s">
        <v>228</v>
      </c>
      <c r="C26" s="979"/>
      <c r="D26" s="979"/>
      <c r="E26" s="979"/>
      <c r="F26" s="978" t="s">
        <v>221</v>
      </c>
      <c r="G26" s="980" t="s">
        <v>222</v>
      </c>
      <c r="H26" s="975"/>
      <c r="I26" s="979" t="str">
        <f>B26</f>
        <v>Resistance</v>
      </c>
      <c r="J26" s="979"/>
      <c r="K26" s="979"/>
      <c r="L26" s="979"/>
      <c r="M26" s="978" t="s">
        <v>221</v>
      </c>
      <c r="N26" s="978" t="s">
        <v>222</v>
      </c>
      <c r="O26" s="975"/>
      <c r="P26" s="979" t="str">
        <f>B26</f>
        <v>Resistance</v>
      </c>
      <c r="Q26" s="979"/>
      <c r="R26" s="979"/>
      <c r="S26" s="979"/>
      <c r="T26" s="978" t="s">
        <v>221</v>
      </c>
      <c r="U26" s="978" t="s">
        <v>222</v>
      </c>
      <c r="V26" s="435"/>
      <c r="W26" s="435"/>
      <c r="X26" s="435"/>
    </row>
    <row r="27" spans="1:28" ht="14.5" x14ac:dyDescent="0.25">
      <c r="A27" s="973"/>
      <c r="B27" s="544" t="s">
        <v>229</v>
      </c>
      <c r="C27" s="545">
        <f>C5</f>
        <v>2020</v>
      </c>
      <c r="D27" s="545">
        <f>D5</f>
        <v>2019</v>
      </c>
      <c r="E27" s="545">
        <f>E5</f>
        <v>2016</v>
      </c>
      <c r="F27" s="978"/>
      <c r="G27" s="981"/>
      <c r="H27" s="975"/>
      <c r="I27" s="544" t="s">
        <v>229</v>
      </c>
      <c r="J27" s="545">
        <f>J5</f>
        <v>2019</v>
      </c>
      <c r="K27" s="545">
        <f>K5</f>
        <v>2017</v>
      </c>
      <c r="L27" s="545">
        <f>L5</f>
        <v>2016</v>
      </c>
      <c r="M27" s="978"/>
      <c r="N27" s="978"/>
      <c r="O27" s="975"/>
      <c r="P27" s="544" t="s">
        <v>229</v>
      </c>
      <c r="Q27" s="545">
        <f>Q5</f>
        <v>2022</v>
      </c>
      <c r="R27" s="545">
        <f>R5</f>
        <v>2021</v>
      </c>
      <c r="S27" s="545">
        <f>S5</f>
        <v>2018</v>
      </c>
      <c r="T27" s="978"/>
      <c r="U27" s="978"/>
      <c r="V27" s="435"/>
      <c r="W27" s="435"/>
      <c r="X27" s="435"/>
    </row>
    <row r="28" spans="1:28" x14ac:dyDescent="0.25">
      <c r="A28" s="973"/>
      <c r="B28" s="112">
        <v>0</v>
      </c>
      <c r="C28" s="112">
        <v>9.9999999999999995E-7</v>
      </c>
      <c r="D28" s="112">
        <v>9.9999999999999995E-7</v>
      </c>
      <c r="E28" s="480"/>
      <c r="F28" s="548">
        <f>0.5*(MAX(C28:E28)-MIN(C28:E28))</f>
        <v>0</v>
      </c>
      <c r="G28" s="547">
        <f>(1.2/100)*B28</f>
        <v>0</v>
      </c>
      <c r="H28" s="975"/>
      <c r="I28" s="112">
        <v>0.01</v>
      </c>
      <c r="J28" s="112">
        <v>9.9999999999999995E-7</v>
      </c>
      <c r="K28" s="112">
        <v>9.9999999999999995E-7</v>
      </c>
      <c r="L28" s="480"/>
      <c r="M28" s="548">
        <f>0.5*(MAX(J28:L28)-MIN(J28:L28))</f>
        <v>0</v>
      </c>
      <c r="N28" s="547">
        <f>(1.2/100)*I28</f>
        <v>1.2E-4</v>
      </c>
      <c r="O28" s="975"/>
      <c r="P28" s="112">
        <v>0</v>
      </c>
      <c r="Q28" s="552">
        <v>-1E-3</v>
      </c>
      <c r="R28" s="552">
        <v>9.9999999999999995E-7</v>
      </c>
      <c r="S28" s="552">
        <v>9.9999999999999995E-7</v>
      </c>
      <c r="T28" s="548">
        <f>0.5*(MAX(Q28:S28)-MIN(Q28:S28))</f>
        <v>5.0049999999999997E-4</v>
      </c>
      <c r="U28" s="112">
        <f>(1.2/100)*P28</f>
        <v>0</v>
      </c>
      <c r="V28" s="435"/>
      <c r="W28" s="435"/>
      <c r="X28" s="435"/>
    </row>
    <row r="29" spans="1:28" x14ac:dyDescent="0.25">
      <c r="A29" s="973"/>
      <c r="B29" s="112">
        <v>0.1</v>
      </c>
      <c r="C29" s="112">
        <v>-1E-3</v>
      </c>
      <c r="D29" s="112">
        <v>2E-3</v>
      </c>
      <c r="E29" s="480"/>
      <c r="F29" s="548">
        <f>0.5*(MAX(C29:E29)-MIN(C29:E29))</f>
        <v>1.5E-3</v>
      </c>
      <c r="G29" s="547">
        <f>(1.2/100)*B29</f>
        <v>1.2000000000000001E-3</v>
      </c>
      <c r="H29" s="975"/>
      <c r="I29" s="112">
        <v>0.1</v>
      </c>
      <c r="J29" s="112">
        <v>6.0000000000000001E-3</v>
      </c>
      <c r="K29" s="112">
        <v>5.0000000000000001E-3</v>
      </c>
      <c r="L29" s="480"/>
      <c r="M29" s="548">
        <f>0.5*(MAX(J29:L29)-MIN(J29:L29))</f>
        <v>5.0000000000000001E-4</v>
      </c>
      <c r="N29" s="547">
        <f>(1.2/100)*I29</f>
        <v>1.2000000000000001E-3</v>
      </c>
      <c r="O29" s="975"/>
      <c r="P29" s="112">
        <v>0.5</v>
      </c>
      <c r="Q29" s="552">
        <v>-2E-3</v>
      </c>
      <c r="R29" s="552">
        <v>-1E-3</v>
      </c>
      <c r="S29" s="552">
        <v>9.9999999999999995E-7</v>
      </c>
      <c r="T29" s="548">
        <f>0.5*(MAX(Q29:S29)-MIN(Q29:S29))</f>
        <v>1.0005000000000001E-3</v>
      </c>
      <c r="U29" s="112">
        <f>(1.2/100)*P29</f>
        <v>6.0000000000000001E-3</v>
      </c>
      <c r="V29" s="435"/>
      <c r="W29" s="435"/>
      <c r="X29" s="435"/>
    </row>
    <row r="30" spans="1:28" x14ac:dyDescent="0.25">
      <c r="A30" s="973"/>
      <c r="B30" s="112">
        <v>1</v>
      </c>
      <c r="C30" s="112">
        <v>4.0000000000000001E-3</v>
      </c>
      <c r="D30" s="112">
        <v>1.2E-2</v>
      </c>
      <c r="E30" s="480"/>
      <c r="F30" s="548">
        <f>0.5*(MAX(C30:E30)-MIN(C30:E30))</f>
        <v>4.0000000000000001E-3</v>
      </c>
      <c r="G30" s="547">
        <f>(1.2/100)*B30</f>
        <v>1.2E-2</v>
      </c>
      <c r="H30" s="975"/>
      <c r="I30" s="112">
        <v>1</v>
      </c>
      <c r="J30" s="112">
        <v>4.4999999999999998E-2</v>
      </c>
      <c r="K30" s="112">
        <v>5.5E-2</v>
      </c>
      <c r="L30" s="480"/>
      <c r="M30" s="548">
        <f>0.5*(MAX(J30:L30)-MIN(J30:L30))</f>
        <v>5.000000000000001E-3</v>
      </c>
      <c r="N30" s="547">
        <f>(1.2/100)*I30</f>
        <v>1.2E-2</v>
      </c>
      <c r="O30" s="975"/>
      <c r="P30" s="112">
        <v>1</v>
      </c>
      <c r="Q30" s="552">
        <v>-1.2E-2</v>
      </c>
      <c r="R30" s="552">
        <v>5.0000000000000001E-3</v>
      </c>
      <c r="S30" s="552">
        <v>9.9999999999999995E-7</v>
      </c>
      <c r="T30" s="548">
        <f>0.5*(MAX(Q30:S30)-MIN(Q30:S30))</f>
        <v>8.5000000000000006E-3</v>
      </c>
      <c r="U30" s="112">
        <f>(1.2/100)*P30</f>
        <v>1.2E-2</v>
      </c>
      <c r="V30" s="435"/>
      <c r="W30" s="435"/>
      <c r="X30" s="435"/>
    </row>
    <row r="31" spans="1:28" x14ac:dyDescent="0.25">
      <c r="A31" s="973"/>
      <c r="B31" s="112">
        <v>2</v>
      </c>
      <c r="C31" s="112">
        <v>7.0000000000000001E-3</v>
      </c>
      <c r="D31" s="112">
        <v>9.9999999999999995E-7</v>
      </c>
      <c r="E31" s="480"/>
      <c r="F31" s="548">
        <f>0.5*(MAX(C31:E31)-MIN(C31:E31))</f>
        <v>3.4995E-3</v>
      </c>
      <c r="G31" s="547">
        <f>(1.2/100)*B31</f>
        <v>2.4E-2</v>
      </c>
      <c r="H31" s="975"/>
      <c r="I31" s="112">
        <v>2</v>
      </c>
      <c r="J31" s="112">
        <v>9.9999999999999995E-7</v>
      </c>
      <c r="K31" s="112">
        <v>9.9999999999999995E-7</v>
      </c>
      <c r="L31" s="480"/>
      <c r="M31" s="548">
        <f>0.5*(MAX(J31:L31)-MIN(J31:L31))</f>
        <v>0</v>
      </c>
      <c r="N31" s="547">
        <f>(0/100)*I31</f>
        <v>0</v>
      </c>
      <c r="O31" s="975"/>
      <c r="P31" s="112">
        <v>2</v>
      </c>
      <c r="Q31" s="552">
        <v>-8.0000000000000002E-3</v>
      </c>
      <c r="R31" s="552">
        <v>1.4E-2</v>
      </c>
      <c r="S31" s="552">
        <v>9.9999999999999995E-7</v>
      </c>
      <c r="T31" s="548">
        <f>0.5*(MAX(Q31:S31)-MIN(Q31:S31))</f>
        <v>1.0999999999999999E-2</v>
      </c>
      <c r="U31" s="112">
        <f>(1.2/100)*P31</f>
        <v>2.4E-2</v>
      </c>
      <c r="V31" s="435"/>
      <c r="W31" s="435"/>
      <c r="X31" s="435"/>
    </row>
    <row r="32" spans="1:28" x14ac:dyDescent="0.25">
      <c r="A32" s="553"/>
      <c r="T32" s="442"/>
      <c r="V32" s="435"/>
      <c r="W32" s="435"/>
      <c r="X32" s="435"/>
    </row>
    <row r="33" spans="1:24" ht="14.5" x14ac:dyDescent="0.25">
      <c r="A33" s="973" t="s">
        <v>230</v>
      </c>
      <c r="B33" s="987" t="s">
        <v>231</v>
      </c>
      <c r="C33" s="987"/>
      <c r="D33" s="987"/>
      <c r="E33" s="987"/>
      <c r="F33" s="987"/>
      <c r="G33" s="987"/>
      <c r="H33" s="975" t="s">
        <v>232</v>
      </c>
      <c r="I33" s="974" t="s">
        <v>233</v>
      </c>
      <c r="J33" s="974"/>
      <c r="K33" s="974"/>
      <c r="L33" s="974"/>
      <c r="M33" s="974"/>
      <c r="N33" s="974"/>
      <c r="O33" s="975" t="s">
        <v>234</v>
      </c>
      <c r="P33" s="987" t="s">
        <v>235</v>
      </c>
      <c r="Q33" s="987"/>
      <c r="R33" s="987"/>
      <c r="S33" s="987"/>
      <c r="T33" s="987"/>
      <c r="U33" s="987"/>
      <c r="V33" s="435"/>
      <c r="W33" s="435"/>
      <c r="X33" s="435"/>
    </row>
    <row r="34" spans="1:24" ht="14" x14ac:dyDescent="0.3">
      <c r="A34" s="973"/>
      <c r="B34" s="976" t="s">
        <v>219</v>
      </c>
      <c r="C34" s="976"/>
      <c r="D34" s="976"/>
      <c r="E34" s="976"/>
      <c r="F34" s="976"/>
      <c r="G34" s="976"/>
      <c r="H34" s="975"/>
      <c r="I34" s="976" t="s">
        <v>219</v>
      </c>
      <c r="J34" s="976"/>
      <c r="K34" s="976"/>
      <c r="L34" s="976"/>
      <c r="M34" s="976"/>
      <c r="N34" s="976"/>
      <c r="O34" s="975"/>
      <c r="P34" s="976" t="s">
        <v>219</v>
      </c>
      <c r="Q34" s="976"/>
      <c r="R34" s="976"/>
      <c r="S34" s="976"/>
      <c r="T34" s="976"/>
      <c r="U34" s="976"/>
      <c r="V34" s="435"/>
      <c r="W34" s="435"/>
      <c r="X34" s="435"/>
    </row>
    <row r="35" spans="1:24" ht="13" x14ac:dyDescent="0.25">
      <c r="A35" s="973"/>
      <c r="B35" s="978" t="str">
        <f>B4</f>
        <v>Setting VAC</v>
      </c>
      <c r="C35" s="978"/>
      <c r="D35" s="978"/>
      <c r="E35" s="978"/>
      <c r="F35" s="978" t="s">
        <v>221</v>
      </c>
      <c r="G35" s="978" t="s">
        <v>222</v>
      </c>
      <c r="H35" s="975"/>
      <c r="I35" s="978" t="str">
        <f>B35</f>
        <v>Setting VAC</v>
      </c>
      <c r="J35" s="978"/>
      <c r="K35" s="978"/>
      <c r="L35" s="978"/>
      <c r="M35" s="978" t="s">
        <v>221</v>
      </c>
      <c r="N35" s="978" t="s">
        <v>222</v>
      </c>
      <c r="O35" s="975"/>
      <c r="P35" s="978" t="str">
        <f>I35</f>
        <v>Setting VAC</v>
      </c>
      <c r="Q35" s="978"/>
      <c r="R35" s="978"/>
      <c r="S35" s="978"/>
      <c r="T35" s="978" t="s">
        <v>221</v>
      </c>
      <c r="U35" s="978" t="s">
        <v>222</v>
      </c>
      <c r="V35" s="435"/>
      <c r="W35" s="435"/>
      <c r="X35" s="435"/>
    </row>
    <row r="36" spans="1:24" ht="14" x14ac:dyDescent="0.25">
      <c r="A36" s="973"/>
      <c r="B36" s="544" t="s">
        <v>223</v>
      </c>
      <c r="C36" s="545">
        <v>2021</v>
      </c>
      <c r="D36" s="545">
        <v>2019</v>
      </c>
      <c r="E36" s="545">
        <v>2016</v>
      </c>
      <c r="F36" s="978"/>
      <c r="G36" s="978"/>
      <c r="H36" s="975"/>
      <c r="I36" s="544" t="s">
        <v>223</v>
      </c>
      <c r="J36" s="545">
        <v>2021</v>
      </c>
      <c r="K36" s="545">
        <v>2019</v>
      </c>
      <c r="L36" s="545">
        <v>2016</v>
      </c>
      <c r="M36" s="978"/>
      <c r="N36" s="978"/>
      <c r="O36" s="975"/>
      <c r="P36" s="544" t="s">
        <v>223</v>
      </c>
      <c r="Q36" s="545">
        <v>2022</v>
      </c>
      <c r="R36" s="545">
        <v>2019</v>
      </c>
      <c r="S36" s="545">
        <v>2018</v>
      </c>
      <c r="T36" s="978"/>
      <c r="U36" s="978"/>
      <c r="V36" s="437"/>
      <c r="W36" s="437"/>
      <c r="X36" s="435"/>
    </row>
    <row r="37" spans="1:24" x14ac:dyDescent="0.25">
      <c r="A37" s="973"/>
      <c r="B37" s="547">
        <v>150</v>
      </c>
      <c r="C37" s="549">
        <v>-0.05</v>
      </c>
      <c r="D37" s="549">
        <v>0.11</v>
      </c>
      <c r="E37" s="480"/>
      <c r="F37" s="548">
        <f t="shared" ref="F37:F42" si="9">0.5*(MAX(C37:E37)-MIN(C37:E37))</f>
        <v>0.08</v>
      </c>
      <c r="G37" s="547">
        <f>(1.2/100)*B37</f>
        <v>1.8</v>
      </c>
      <c r="H37" s="975"/>
      <c r="I37" s="547">
        <v>150</v>
      </c>
      <c r="J37" s="549">
        <v>0.25</v>
      </c>
      <c r="K37" s="549">
        <v>0.02</v>
      </c>
      <c r="L37" s="480"/>
      <c r="M37" s="548">
        <f t="shared" ref="M37:M42" si="10">0.5*(MAX(J37:L37)-MIN(J37:L37))</f>
        <v>0.115</v>
      </c>
      <c r="N37" s="547">
        <f>(1.2/100)*I37</f>
        <v>1.8</v>
      </c>
      <c r="O37" s="975"/>
      <c r="P37" s="547">
        <v>150</v>
      </c>
      <c r="Q37" s="549">
        <v>0.15</v>
      </c>
      <c r="R37" s="549">
        <v>-0.15</v>
      </c>
      <c r="S37" s="549">
        <v>0.03</v>
      </c>
      <c r="T37" s="548">
        <f t="shared" ref="T37:T42" si="11">0.5*(MAX(Q37:S37)-MIN(Q37:S37))</f>
        <v>0.15</v>
      </c>
      <c r="U37" s="547">
        <f>(1.2/100)*P37</f>
        <v>1.8</v>
      </c>
      <c r="V37" s="39"/>
      <c r="W37" s="550"/>
      <c r="X37" s="435"/>
    </row>
    <row r="38" spans="1:24" x14ac:dyDescent="0.25">
      <c r="A38" s="973"/>
      <c r="B38" s="547">
        <v>180</v>
      </c>
      <c r="C38" s="549">
        <v>-0.04</v>
      </c>
      <c r="D38" s="549">
        <v>0.03</v>
      </c>
      <c r="E38" s="480"/>
      <c r="F38" s="548">
        <f t="shared" si="9"/>
        <v>3.5000000000000003E-2</v>
      </c>
      <c r="G38" s="547">
        <f>(1.2/100)*B38</f>
        <v>2.16</v>
      </c>
      <c r="H38" s="975"/>
      <c r="I38" s="547">
        <v>180</v>
      </c>
      <c r="J38" s="549">
        <v>0.09</v>
      </c>
      <c r="K38" s="549">
        <v>0.1</v>
      </c>
      <c r="L38" s="480"/>
      <c r="M38" s="548">
        <f t="shared" si="10"/>
        <v>5.0000000000000044E-3</v>
      </c>
      <c r="N38" s="547">
        <f>(1.2/100)*I38</f>
        <v>2.16</v>
      </c>
      <c r="O38" s="975"/>
      <c r="P38" s="547">
        <v>180</v>
      </c>
      <c r="Q38" s="549">
        <v>0.17</v>
      </c>
      <c r="R38" s="549">
        <v>-0.11</v>
      </c>
      <c r="S38" s="549">
        <v>9.9999999999999995E-7</v>
      </c>
      <c r="T38" s="548">
        <f t="shared" si="11"/>
        <v>0.14000000000000001</v>
      </c>
      <c r="U38" s="547">
        <f>(1.2/100)*P38</f>
        <v>2.16</v>
      </c>
      <c r="V38" s="39"/>
      <c r="W38" s="550"/>
      <c r="X38" s="435"/>
    </row>
    <row r="39" spans="1:24" x14ac:dyDescent="0.25">
      <c r="A39" s="973"/>
      <c r="B39" s="547">
        <v>200</v>
      </c>
      <c r="C39" s="549">
        <v>-0.67</v>
      </c>
      <c r="D39" s="549">
        <v>0.05</v>
      </c>
      <c r="E39" s="480"/>
      <c r="F39" s="548">
        <f t="shared" si="9"/>
        <v>0.36000000000000004</v>
      </c>
      <c r="G39" s="547">
        <f>(1.2/100)*B39</f>
        <v>2.4</v>
      </c>
      <c r="H39" s="975"/>
      <c r="I39" s="547">
        <v>200</v>
      </c>
      <c r="J39" s="549">
        <v>0.18</v>
      </c>
      <c r="K39" s="549">
        <v>-0.03</v>
      </c>
      <c r="L39" s="480"/>
      <c r="M39" s="548">
        <f t="shared" si="10"/>
        <v>0.105</v>
      </c>
      <c r="N39" s="547">
        <f>(1.2/100)*I39</f>
        <v>2.4</v>
      </c>
      <c r="O39" s="975"/>
      <c r="P39" s="112">
        <v>200</v>
      </c>
      <c r="Q39" s="549">
        <v>0.1</v>
      </c>
      <c r="R39" s="549">
        <v>-0.1</v>
      </c>
      <c r="S39" s="549">
        <v>0.05</v>
      </c>
      <c r="T39" s="548">
        <f t="shared" si="11"/>
        <v>0.1</v>
      </c>
      <c r="U39" s="547">
        <f>(1.2/100)*P39</f>
        <v>2.4</v>
      </c>
      <c r="V39" s="39"/>
      <c r="W39" s="550"/>
      <c r="X39" s="435"/>
    </row>
    <row r="40" spans="1:24" x14ac:dyDescent="0.25">
      <c r="A40" s="973"/>
      <c r="B40" s="112">
        <v>220</v>
      </c>
      <c r="C40" s="549">
        <v>9.9999999999999995E-7</v>
      </c>
      <c r="D40" s="549">
        <v>0.1</v>
      </c>
      <c r="E40" s="480"/>
      <c r="F40" s="548">
        <f t="shared" si="9"/>
        <v>4.9999500000000002E-2</v>
      </c>
      <c r="G40" s="547">
        <f>(1.2/100)*B40</f>
        <v>2.64</v>
      </c>
      <c r="H40" s="975"/>
      <c r="I40" s="112">
        <v>220</v>
      </c>
      <c r="J40" s="549">
        <v>0.56000000000000005</v>
      </c>
      <c r="K40" s="549">
        <v>0.38</v>
      </c>
      <c r="L40" s="480"/>
      <c r="M40" s="548">
        <f t="shared" si="10"/>
        <v>9.0000000000000024E-2</v>
      </c>
      <c r="N40" s="547">
        <f>(1.2/100)*I40</f>
        <v>2.64</v>
      </c>
      <c r="O40" s="975"/>
      <c r="P40" s="112">
        <v>220</v>
      </c>
      <c r="Q40" s="549">
        <v>7.0000000000000007E-2</v>
      </c>
      <c r="R40" s="549">
        <v>-0.13</v>
      </c>
      <c r="S40" s="549">
        <v>0.05</v>
      </c>
      <c r="T40" s="548">
        <f t="shared" si="11"/>
        <v>0.1</v>
      </c>
      <c r="U40" s="547">
        <f>(1.2/100)*P40</f>
        <v>2.64</v>
      </c>
      <c r="V40" s="39"/>
      <c r="W40" s="550"/>
      <c r="X40" s="435"/>
    </row>
    <row r="41" spans="1:24" x14ac:dyDescent="0.25">
      <c r="A41" s="973"/>
      <c r="B41" s="112">
        <v>230</v>
      </c>
      <c r="C41" s="549">
        <v>-0.11</v>
      </c>
      <c r="D41" s="549">
        <v>1.1100000000000001</v>
      </c>
      <c r="E41" s="480"/>
      <c r="F41" s="548">
        <f t="shared" si="9"/>
        <v>0.6100000000000001</v>
      </c>
      <c r="G41" s="547">
        <f>(1.2/100)*B41</f>
        <v>2.7600000000000002</v>
      </c>
      <c r="H41" s="975"/>
      <c r="I41" s="112">
        <v>230</v>
      </c>
      <c r="J41" s="549">
        <v>0.73</v>
      </c>
      <c r="K41" s="549">
        <v>-0.16</v>
      </c>
      <c r="L41" s="480"/>
      <c r="M41" s="548">
        <f t="shared" si="10"/>
        <v>0.44500000000000001</v>
      </c>
      <c r="N41" s="547">
        <f>(1.2/100)*I41</f>
        <v>2.7600000000000002</v>
      </c>
      <c r="O41" s="975"/>
      <c r="P41" s="112">
        <v>230</v>
      </c>
      <c r="Q41" s="549">
        <v>0.08</v>
      </c>
      <c r="R41" s="549">
        <v>-0.15</v>
      </c>
      <c r="S41" s="549">
        <v>-0.05</v>
      </c>
      <c r="T41" s="548">
        <f t="shared" si="11"/>
        <v>0.11499999999999999</v>
      </c>
      <c r="U41" s="547">
        <f>(1.2/100)*P41</f>
        <v>2.7600000000000002</v>
      </c>
      <c r="V41" s="39"/>
      <c r="W41" s="550"/>
      <c r="X41" s="435"/>
    </row>
    <row r="42" spans="1:24" x14ac:dyDescent="0.25">
      <c r="A42" s="973"/>
      <c r="B42" s="112">
        <v>250</v>
      </c>
      <c r="C42" s="549">
        <v>9.9999999999999995E-7</v>
      </c>
      <c r="D42" s="549">
        <v>9.9999999999999995E-7</v>
      </c>
      <c r="E42" s="480"/>
      <c r="F42" s="548">
        <f t="shared" si="9"/>
        <v>0</v>
      </c>
      <c r="G42" s="547">
        <v>2.76</v>
      </c>
      <c r="H42" s="975"/>
      <c r="I42" s="112">
        <v>250</v>
      </c>
      <c r="J42" s="549">
        <v>9.9999999999999995E-7</v>
      </c>
      <c r="K42" s="549">
        <v>9.9999999999999995E-7</v>
      </c>
      <c r="L42" s="480"/>
      <c r="M42" s="548">
        <f t="shared" si="10"/>
        <v>0</v>
      </c>
      <c r="N42" s="547">
        <v>2.76</v>
      </c>
      <c r="O42" s="975"/>
      <c r="P42" s="112">
        <v>250</v>
      </c>
      <c r="Q42" s="549">
        <v>0</v>
      </c>
      <c r="R42" s="549">
        <v>9.9999999999999995E-7</v>
      </c>
      <c r="S42" s="549">
        <v>9.9999999999999995E-7</v>
      </c>
      <c r="T42" s="548">
        <f t="shared" si="11"/>
        <v>4.9999999999999998E-7</v>
      </c>
      <c r="U42" s="547">
        <f>(0/100)*P42</f>
        <v>0</v>
      </c>
      <c r="V42" s="39"/>
      <c r="W42" s="550"/>
      <c r="X42" s="435"/>
    </row>
    <row r="43" spans="1:24" ht="12.75" customHeight="1" x14ac:dyDescent="0.25">
      <c r="A43" s="973"/>
      <c r="B43" s="979" t="str">
        <f>B12</f>
        <v>Current Leakage</v>
      </c>
      <c r="C43" s="979"/>
      <c r="D43" s="979"/>
      <c r="E43" s="979"/>
      <c r="F43" s="978" t="s">
        <v>221</v>
      </c>
      <c r="G43" s="978" t="s">
        <v>222</v>
      </c>
      <c r="H43" s="975"/>
      <c r="I43" s="979" t="str">
        <f>B43</f>
        <v>Current Leakage</v>
      </c>
      <c r="J43" s="979"/>
      <c r="K43" s="979"/>
      <c r="L43" s="979"/>
      <c r="M43" s="978" t="s">
        <v>221</v>
      </c>
      <c r="N43" s="978" t="s">
        <v>222</v>
      </c>
      <c r="O43" s="975"/>
      <c r="P43" s="979" t="str">
        <f>I43</f>
        <v>Current Leakage</v>
      </c>
      <c r="Q43" s="979"/>
      <c r="R43" s="979"/>
      <c r="S43" s="979"/>
      <c r="T43" s="978" t="s">
        <v>221</v>
      </c>
      <c r="U43" s="978" t="s">
        <v>222</v>
      </c>
      <c r="V43" s="435"/>
      <c r="W43" s="435"/>
      <c r="X43" s="435"/>
    </row>
    <row r="44" spans="1:24" ht="14" x14ac:dyDescent="0.25">
      <c r="A44" s="973"/>
      <c r="B44" s="544" t="s">
        <v>225</v>
      </c>
      <c r="C44" s="545">
        <f>C36</f>
        <v>2021</v>
      </c>
      <c r="D44" s="545">
        <f>D36</f>
        <v>2019</v>
      </c>
      <c r="E44" s="545">
        <f>E36</f>
        <v>2016</v>
      </c>
      <c r="F44" s="978"/>
      <c r="G44" s="978"/>
      <c r="H44" s="975"/>
      <c r="I44" s="544" t="s">
        <v>225</v>
      </c>
      <c r="J44" s="545">
        <f>J36</f>
        <v>2021</v>
      </c>
      <c r="K44" s="545">
        <f>K36</f>
        <v>2019</v>
      </c>
      <c r="L44" s="545">
        <f>L36</f>
        <v>2016</v>
      </c>
      <c r="M44" s="978"/>
      <c r="N44" s="978"/>
      <c r="O44" s="975"/>
      <c r="P44" s="544" t="s">
        <v>225</v>
      </c>
      <c r="Q44" s="545">
        <f>Q36</f>
        <v>2022</v>
      </c>
      <c r="R44" s="545">
        <f>R36</f>
        <v>2019</v>
      </c>
      <c r="S44" s="545">
        <f>S36</f>
        <v>2018</v>
      </c>
      <c r="T44" s="978"/>
      <c r="U44" s="978"/>
      <c r="V44" s="435"/>
      <c r="W44" s="435"/>
      <c r="X44" s="435"/>
    </row>
    <row r="45" spans="1:24" x14ac:dyDescent="0.25">
      <c r="A45" s="973"/>
      <c r="B45" s="112">
        <v>0</v>
      </c>
      <c r="C45" s="386">
        <v>9.9999999999999995E-7</v>
      </c>
      <c r="D45" s="112">
        <v>9.9999999999999995E-7</v>
      </c>
      <c r="E45" s="480"/>
      <c r="F45" s="548">
        <f t="shared" ref="F45:F50" si="12">0.5*(MAX(C45:E45)-MIN(C45:E45))</f>
        <v>0</v>
      </c>
      <c r="G45" s="112">
        <v>0.3</v>
      </c>
      <c r="H45" s="975"/>
      <c r="I45" s="112">
        <v>0</v>
      </c>
      <c r="J45" s="386">
        <v>9.9999999999999995E-7</v>
      </c>
      <c r="K45" s="386">
        <v>9.9999999999999995E-7</v>
      </c>
      <c r="L45" s="480"/>
      <c r="M45" s="548">
        <f t="shared" ref="M45:M50" si="13">0.5*(MAX(J45:L45)-MIN(J45:L45))</f>
        <v>0</v>
      </c>
      <c r="N45" s="112">
        <f>(0.58/100)*I45</f>
        <v>0</v>
      </c>
      <c r="O45" s="975"/>
      <c r="P45" s="112">
        <v>0</v>
      </c>
      <c r="Q45" s="386">
        <v>0</v>
      </c>
      <c r="R45" s="386">
        <v>9.9999999999999995E-7</v>
      </c>
      <c r="S45" s="112">
        <v>9.9999999999999995E-7</v>
      </c>
      <c r="T45" s="548">
        <f t="shared" ref="T45:T50" si="14">0.5*(MAX(Q45:S45)-MIN(Q45:S45))</f>
        <v>4.9999999999999998E-7</v>
      </c>
      <c r="U45" s="112">
        <v>0.28999999999999998</v>
      </c>
    </row>
    <row r="46" spans="1:24" x14ac:dyDescent="0.25">
      <c r="A46" s="973"/>
      <c r="B46" s="112">
        <v>50</v>
      </c>
      <c r="C46" s="549">
        <v>-0.3</v>
      </c>
      <c r="D46" s="549">
        <v>-0.28999999999999998</v>
      </c>
      <c r="E46" s="480"/>
      <c r="F46" s="548">
        <f t="shared" si="12"/>
        <v>5.0000000000000044E-3</v>
      </c>
      <c r="G46" s="112">
        <f>(0.59/100)*B46</f>
        <v>0.29499999999999998</v>
      </c>
      <c r="H46" s="975"/>
      <c r="I46" s="112">
        <v>50</v>
      </c>
      <c r="J46" s="549">
        <v>0.3</v>
      </c>
      <c r="K46" s="549">
        <v>-0.33</v>
      </c>
      <c r="L46" s="480"/>
      <c r="M46" s="548">
        <f t="shared" si="13"/>
        <v>0.315</v>
      </c>
      <c r="N46" s="112">
        <f>(0.58/100)*I46</f>
        <v>0.28999999999999998</v>
      </c>
      <c r="O46" s="975"/>
      <c r="P46" s="112">
        <v>50</v>
      </c>
      <c r="Q46" s="549">
        <v>19.100000000000001</v>
      </c>
      <c r="R46" s="549">
        <v>0.02</v>
      </c>
      <c r="S46" s="549">
        <v>-0.1</v>
      </c>
      <c r="T46" s="548">
        <f t="shared" si="14"/>
        <v>9.6000000000000014</v>
      </c>
      <c r="U46" s="112">
        <f>(0.58/100)*P46</f>
        <v>0.28999999999999998</v>
      </c>
    </row>
    <row r="47" spans="1:24" x14ac:dyDescent="0.25">
      <c r="A47" s="973"/>
      <c r="B47" s="112">
        <v>100</v>
      </c>
      <c r="C47" s="549">
        <v>-0.4</v>
      </c>
      <c r="D47" s="549">
        <v>-0.35</v>
      </c>
      <c r="E47" s="480"/>
      <c r="F47" s="548">
        <f t="shared" si="12"/>
        <v>2.5000000000000022E-2</v>
      </c>
      <c r="G47" s="112">
        <f>(0.59/100)*B47</f>
        <v>0.59</v>
      </c>
      <c r="H47" s="975"/>
      <c r="I47" s="112">
        <v>100</v>
      </c>
      <c r="J47" s="549">
        <v>-0.1</v>
      </c>
      <c r="K47" s="549">
        <v>-0.42</v>
      </c>
      <c r="L47" s="480"/>
      <c r="M47" s="548">
        <f t="shared" si="13"/>
        <v>0.15999999999999998</v>
      </c>
      <c r="N47" s="112">
        <f>(0.58/100)*I47</f>
        <v>0.57999999999999996</v>
      </c>
      <c r="O47" s="975"/>
      <c r="P47" s="112">
        <v>100</v>
      </c>
      <c r="Q47" s="549">
        <v>18.399999999999999</v>
      </c>
      <c r="R47" s="549">
        <v>0.22</v>
      </c>
      <c r="S47" s="112">
        <v>-0.2</v>
      </c>
      <c r="T47" s="548">
        <f t="shared" si="14"/>
        <v>9.2999999999999989</v>
      </c>
      <c r="U47" s="112">
        <f>(0.58/100)*P47</f>
        <v>0.57999999999999996</v>
      </c>
    </row>
    <row r="48" spans="1:24" x14ac:dyDescent="0.25">
      <c r="A48" s="973"/>
      <c r="B48" s="112">
        <v>200</v>
      </c>
      <c r="C48" s="549">
        <v>0.3</v>
      </c>
      <c r="D48" s="549">
        <v>0.8</v>
      </c>
      <c r="E48" s="480"/>
      <c r="F48" s="548">
        <f t="shared" si="12"/>
        <v>0.25</v>
      </c>
      <c r="G48" s="112">
        <f>(0.59/100)*B48</f>
        <v>1.18</v>
      </c>
      <c r="H48" s="975"/>
      <c r="I48" s="112">
        <v>200</v>
      </c>
      <c r="J48" s="549">
        <v>1.3</v>
      </c>
      <c r="K48" s="549">
        <v>1.3</v>
      </c>
      <c r="L48" s="480"/>
      <c r="M48" s="548">
        <f t="shared" si="13"/>
        <v>0</v>
      </c>
      <c r="N48" s="112">
        <f>(0.58/100)*I48</f>
        <v>1.1599999999999999</v>
      </c>
      <c r="O48" s="975"/>
      <c r="P48" s="112">
        <v>200</v>
      </c>
      <c r="Q48" s="549">
        <v>14.4</v>
      </c>
      <c r="R48" s="549">
        <v>0.8</v>
      </c>
      <c r="S48" s="549">
        <v>0.8</v>
      </c>
      <c r="T48" s="548">
        <f t="shared" si="14"/>
        <v>6.8</v>
      </c>
      <c r="U48" s="112">
        <f>(0.58/100)*P48</f>
        <v>1.1599999999999999</v>
      </c>
    </row>
    <row r="49" spans="1:21" x14ac:dyDescent="0.25">
      <c r="A49" s="973"/>
      <c r="B49" s="112">
        <v>500</v>
      </c>
      <c r="C49" s="549">
        <v>0.2</v>
      </c>
      <c r="D49" s="549">
        <v>1.2</v>
      </c>
      <c r="E49" s="480"/>
      <c r="F49" s="548">
        <f t="shared" si="12"/>
        <v>0.5</v>
      </c>
      <c r="G49" s="112">
        <f>(0.59/100)*B49</f>
        <v>2.9499999999999997</v>
      </c>
      <c r="H49" s="975"/>
      <c r="I49" s="112">
        <v>500</v>
      </c>
      <c r="J49" s="549">
        <v>0.7</v>
      </c>
      <c r="K49" s="549">
        <v>0.7</v>
      </c>
      <c r="L49" s="480"/>
      <c r="M49" s="548">
        <f t="shared" si="13"/>
        <v>0</v>
      </c>
      <c r="N49" s="112">
        <f>(0.58/100)*I49</f>
        <v>2.9</v>
      </c>
      <c r="O49" s="975"/>
      <c r="P49" s="112">
        <v>500</v>
      </c>
      <c r="Q49" s="549">
        <v>6.2</v>
      </c>
      <c r="R49" s="549">
        <v>1.1000000000000001</v>
      </c>
      <c r="S49" s="549">
        <v>0.6</v>
      </c>
      <c r="T49" s="548">
        <f t="shared" si="14"/>
        <v>2.8000000000000003</v>
      </c>
      <c r="U49" s="112">
        <f>(0.58/100)*P49</f>
        <v>2.9</v>
      </c>
    </row>
    <row r="50" spans="1:21" x14ac:dyDescent="0.25">
      <c r="A50" s="973"/>
      <c r="B50" s="112">
        <v>1000</v>
      </c>
      <c r="C50" s="549">
        <v>2</v>
      </c>
      <c r="D50" s="549">
        <v>2</v>
      </c>
      <c r="E50" s="480"/>
      <c r="F50" s="548">
        <f t="shared" si="12"/>
        <v>0</v>
      </c>
      <c r="G50" s="112">
        <f>(0/100)*B50</f>
        <v>0</v>
      </c>
      <c r="H50" s="975"/>
      <c r="I50" s="112">
        <v>850</v>
      </c>
      <c r="J50" s="549">
        <v>9.9999999999999995E-7</v>
      </c>
      <c r="K50" s="549">
        <v>9.9999999999999995E-7</v>
      </c>
      <c r="L50" s="480"/>
      <c r="M50" s="548">
        <f t="shared" si="13"/>
        <v>0</v>
      </c>
      <c r="N50" s="112">
        <v>2.9</v>
      </c>
      <c r="O50" s="975"/>
      <c r="P50" s="112">
        <v>1000</v>
      </c>
      <c r="Q50" s="549">
        <v>0</v>
      </c>
      <c r="R50" s="549">
        <v>9.9999999999999995E-7</v>
      </c>
      <c r="S50" s="112">
        <v>9.9999999999999995E-7</v>
      </c>
      <c r="T50" s="548">
        <f t="shared" si="14"/>
        <v>4.9999999999999998E-7</v>
      </c>
      <c r="U50" s="112">
        <v>2.9</v>
      </c>
    </row>
    <row r="51" spans="1:21" ht="13" x14ac:dyDescent="0.25">
      <c r="A51" s="973"/>
      <c r="B51" s="979" t="str">
        <f>B20</f>
        <v>Main-PE</v>
      </c>
      <c r="C51" s="979"/>
      <c r="D51" s="979"/>
      <c r="E51" s="979"/>
      <c r="F51" s="978" t="s">
        <v>221</v>
      </c>
      <c r="G51" s="978" t="s">
        <v>222</v>
      </c>
      <c r="H51" s="975"/>
      <c r="I51" s="979" t="str">
        <f>B51</f>
        <v>Main-PE</v>
      </c>
      <c r="J51" s="979"/>
      <c r="K51" s="979"/>
      <c r="L51" s="979"/>
      <c r="M51" s="978" t="s">
        <v>221</v>
      </c>
      <c r="N51" s="978" t="s">
        <v>222</v>
      </c>
      <c r="O51" s="975"/>
      <c r="P51" s="979" t="str">
        <f>I51</f>
        <v>Main-PE</v>
      </c>
      <c r="Q51" s="979"/>
      <c r="R51" s="979"/>
      <c r="S51" s="979"/>
      <c r="T51" s="978" t="s">
        <v>221</v>
      </c>
      <c r="U51" s="978" t="s">
        <v>222</v>
      </c>
    </row>
    <row r="52" spans="1:21" ht="14.5" x14ac:dyDescent="0.25">
      <c r="A52" s="973"/>
      <c r="B52" s="544" t="s">
        <v>227</v>
      </c>
      <c r="C52" s="545">
        <f>C36</f>
        <v>2021</v>
      </c>
      <c r="D52" s="545">
        <f>D36</f>
        <v>2019</v>
      </c>
      <c r="E52" s="545">
        <f>E36</f>
        <v>2016</v>
      </c>
      <c r="F52" s="978"/>
      <c r="G52" s="978"/>
      <c r="H52" s="975"/>
      <c r="I52" s="544" t="s">
        <v>227</v>
      </c>
      <c r="J52" s="545">
        <f>J36</f>
        <v>2021</v>
      </c>
      <c r="K52" s="545">
        <f>K36</f>
        <v>2019</v>
      </c>
      <c r="L52" s="545">
        <f>L36</f>
        <v>2016</v>
      </c>
      <c r="M52" s="978"/>
      <c r="N52" s="978"/>
      <c r="O52" s="975"/>
      <c r="P52" s="544" t="s">
        <v>227</v>
      </c>
      <c r="Q52" s="545">
        <f>Q36</f>
        <v>2022</v>
      </c>
      <c r="R52" s="545">
        <f>R36</f>
        <v>2019</v>
      </c>
      <c r="S52" s="545">
        <f>S36</f>
        <v>2018</v>
      </c>
      <c r="T52" s="978"/>
      <c r="U52" s="978"/>
    </row>
    <row r="53" spans="1:21" x14ac:dyDescent="0.25">
      <c r="A53" s="973"/>
      <c r="B53" s="112">
        <v>10</v>
      </c>
      <c r="C53" s="549">
        <v>9.9999999999999995E-7</v>
      </c>
      <c r="D53" s="549">
        <v>0.1</v>
      </c>
      <c r="E53" s="480"/>
      <c r="F53" s="548">
        <f>0.5*(MAX(C53:E53)-MIN(C53:E53))</f>
        <v>4.9999500000000002E-2</v>
      </c>
      <c r="G53" s="112">
        <f>(1.7/100)*B53</f>
        <v>0.17</v>
      </c>
      <c r="H53" s="975"/>
      <c r="I53" s="112">
        <v>10</v>
      </c>
      <c r="J53" s="549">
        <v>9.9999999999999995E-7</v>
      </c>
      <c r="K53" s="549">
        <v>0.1</v>
      </c>
      <c r="L53" s="480"/>
      <c r="M53" s="548">
        <f>0.5*(MAX(J53:L53)-MIN(J53:L53))</f>
        <v>4.9999500000000002E-2</v>
      </c>
      <c r="N53" s="112">
        <f>(1.7/100)*I53</f>
        <v>0.17</v>
      </c>
      <c r="O53" s="975"/>
      <c r="P53" s="112">
        <v>10</v>
      </c>
      <c r="Q53" s="549">
        <v>0.1</v>
      </c>
      <c r="R53" s="549">
        <v>0.1</v>
      </c>
      <c r="S53" s="112">
        <v>9.9999999999999995E-7</v>
      </c>
      <c r="T53" s="548">
        <f>0.5*(MAX(Q53:S53)-MIN(Q53:S53))</f>
        <v>4.9999500000000002E-2</v>
      </c>
      <c r="U53" s="112">
        <f>(1.7/100)*P53</f>
        <v>0.17</v>
      </c>
    </row>
    <row r="54" spans="1:21" x14ac:dyDescent="0.25">
      <c r="A54" s="973"/>
      <c r="B54" s="112">
        <v>20</v>
      </c>
      <c r="C54" s="549">
        <v>0.1</v>
      </c>
      <c r="D54" s="549">
        <v>0.2</v>
      </c>
      <c r="E54" s="480"/>
      <c r="F54" s="548">
        <f>0.5*(MAX(C54:E54)-MIN(C54:E54))</f>
        <v>0.05</v>
      </c>
      <c r="G54" s="112">
        <f>(1.7/100)*B54</f>
        <v>0.34</v>
      </c>
      <c r="H54" s="975"/>
      <c r="I54" s="112">
        <v>20</v>
      </c>
      <c r="J54" s="549">
        <v>0.1</v>
      </c>
      <c r="K54" s="549">
        <v>0.1</v>
      </c>
      <c r="L54" s="480"/>
      <c r="M54" s="548">
        <f>0.5*(MAX(J54:L54)-MIN(J54:L54))</f>
        <v>0</v>
      </c>
      <c r="N54" s="112">
        <f>(1.7/100)*I54</f>
        <v>0.34</v>
      </c>
      <c r="O54" s="975"/>
      <c r="P54" s="112">
        <v>20</v>
      </c>
      <c r="Q54" s="549">
        <v>0.1</v>
      </c>
      <c r="R54" s="549">
        <v>0.1</v>
      </c>
      <c r="S54" s="112">
        <v>9.9999999999999995E-7</v>
      </c>
      <c r="T54" s="548">
        <f>0.5*(MAX(Q54:S54)-MIN(Q54:S54))</f>
        <v>4.9999500000000002E-2</v>
      </c>
      <c r="U54" s="112">
        <f>(1.7/100)*P54</f>
        <v>0.34</v>
      </c>
    </row>
    <row r="55" spans="1:21" x14ac:dyDescent="0.25">
      <c r="A55" s="973"/>
      <c r="B55" s="112">
        <v>50</v>
      </c>
      <c r="C55" s="386">
        <v>0.4</v>
      </c>
      <c r="D55" s="386">
        <v>0.5</v>
      </c>
      <c r="E55" s="480"/>
      <c r="F55" s="548">
        <f>0.5*(MAX(C55:E55)-MIN(C55:E55))</f>
        <v>4.9999999999999989E-2</v>
      </c>
      <c r="G55" s="112">
        <f>(1.7/100)*B55</f>
        <v>0.85000000000000009</v>
      </c>
      <c r="H55" s="975"/>
      <c r="I55" s="112">
        <v>50</v>
      </c>
      <c r="J55" s="386">
        <v>0.6</v>
      </c>
      <c r="K55" s="386">
        <v>0.4</v>
      </c>
      <c r="L55" s="480"/>
      <c r="M55" s="548">
        <f>0.5*(MAX(J55:L55)-MIN(J55:L55))</f>
        <v>9.9999999999999978E-2</v>
      </c>
      <c r="N55" s="112">
        <f>(1.7/100)*I55</f>
        <v>0.85000000000000009</v>
      </c>
      <c r="O55" s="975"/>
      <c r="P55" s="112">
        <v>50</v>
      </c>
      <c r="Q55" s="386">
        <v>0.3</v>
      </c>
      <c r="R55" s="386">
        <v>0.3</v>
      </c>
      <c r="S55" s="112">
        <v>0.2</v>
      </c>
      <c r="T55" s="548">
        <f>0.5*(MAX(Q55:S55)-MIN(Q55:S55))</f>
        <v>4.9999999999999989E-2</v>
      </c>
      <c r="U55" s="112">
        <f>(1.7/100)*P55</f>
        <v>0.85000000000000009</v>
      </c>
    </row>
    <row r="56" spans="1:21" x14ac:dyDescent="0.25">
      <c r="A56" s="973"/>
      <c r="B56" s="112">
        <v>100</v>
      </c>
      <c r="C56" s="386">
        <v>1.4</v>
      </c>
      <c r="D56" s="386">
        <v>1</v>
      </c>
      <c r="E56" s="480"/>
      <c r="F56" s="548">
        <f>0.5*(MAX(C56:E56)-MIN(C56:E56))</f>
        <v>0.19999999999999996</v>
      </c>
      <c r="G56" s="112">
        <f>(1.7/100)*B56</f>
        <v>1.7000000000000002</v>
      </c>
      <c r="H56" s="975"/>
      <c r="I56" s="112">
        <v>100</v>
      </c>
      <c r="J56" s="386">
        <v>1.5</v>
      </c>
      <c r="K56" s="386">
        <v>0.8</v>
      </c>
      <c r="L56" s="480"/>
      <c r="M56" s="548">
        <f>0.5*(MAX(J56:L56)-MIN(J56:L56))</f>
        <v>0.35</v>
      </c>
      <c r="N56" s="112">
        <f>(1.7/100)*I56</f>
        <v>1.7000000000000002</v>
      </c>
      <c r="O56" s="975"/>
      <c r="P56" s="112">
        <v>100</v>
      </c>
      <c r="Q56" s="386">
        <v>0.6</v>
      </c>
      <c r="R56" s="386">
        <v>0.6</v>
      </c>
      <c r="S56" s="112">
        <v>0.7</v>
      </c>
      <c r="T56" s="548">
        <f>0.5*(MAX(Q56:S56)-MIN(Q56:S56))</f>
        <v>4.9999999999999989E-2</v>
      </c>
      <c r="U56" s="112">
        <f>(1.7/100)*P56</f>
        <v>1.7000000000000002</v>
      </c>
    </row>
    <row r="57" spans="1:21" ht="12.75" customHeight="1" x14ac:dyDescent="0.25">
      <c r="A57" s="973"/>
      <c r="B57" s="979" t="str">
        <f>B26</f>
        <v>Resistance</v>
      </c>
      <c r="C57" s="979"/>
      <c r="D57" s="979"/>
      <c r="E57" s="979"/>
      <c r="F57" s="978" t="s">
        <v>221</v>
      </c>
      <c r="G57" s="978" t="s">
        <v>222</v>
      </c>
      <c r="H57" s="975"/>
      <c r="I57" s="979" t="str">
        <f>B57</f>
        <v>Resistance</v>
      </c>
      <c r="J57" s="979"/>
      <c r="K57" s="979"/>
      <c r="L57" s="979"/>
      <c r="M57" s="978" t="s">
        <v>221</v>
      </c>
      <c r="N57" s="978" t="s">
        <v>222</v>
      </c>
      <c r="O57" s="975"/>
      <c r="P57" s="979" t="str">
        <f>I57</f>
        <v>Resistance</v>
      </c>
      <c r="Q57" s="979"/>
      <c r="R57" s="979"/>
      <c r="S57" s="979"/>
      <c r="T57" s="978" t="s">
        <v>221</v>
      </c>
      <c r="U57" s="978" t="s">
        <v>222</v>
      </c>
    </row>
    <row r="58" spans="1:21" ht="14.5" x14ac:dyDescent="0.25">
      <c r="A58" s="973"/>
      <c r="B58" s="544" t="s">
        <v>229</v>
      </c>
      <c r="C58" s="545">
        <f>C36</f>
        <v>2021</v>
      </c>
      <c r="D58" s="545">
        <f>D36</f>
        <v>2019</v>
      </c>
      <c r="E58" s="545">
        <f>E36</f>
        <v>2016</v>
      </c>
      <c r="F58" s="978"/>
      <c r="G58" s="978"/>
      <c r="H58" s="975"/>
      <c r="I58" s="544" t="s">
        <v>229</v>
      </c>
      <c r="J58" s="545">
        <f>J36</f>
        <v>2021</v>
      </c>
      <c r="K58" s="545">
        <f>K36</f>
        <v>2019</v>
      </c>
      <c r="L58" s="545">
        <f>L36</f>
        <v>2016</v>
      </c>
      <c r="M58" s="978"/>
      <c r="N58" s="978"/>
      <c r="O58" s="975"/>
      <c r="P58" s="544" t="s">
        <v>229</v>
      </c>
      <c r="Q58" s="545">
        <f>Q36</f>
        <v>2022</v>
      </c>
      <c r="R58" s="545">
        <f>R36</f>
        <v>2019</v>
      </c>
      <c r="S58" s="545">
        <f>S36</f>
        <v>2018</v>
      </c>
      <c r="T58" s="978"/>
      <c r="U58" s="978"/>
    </row>
    <row r="59" spans="1:21" x14ac:dyDescent="0.25">
      <c r="A59" s="973"/>
      <c r="B59" s="112">
        <v>0.01</v>
      </c>
      <c r="C59" s="549">
        <v>9.9999999999999995E-7</v>
      </c>
      <c r="D59" s="549">
        <v>9.9999999999999995E-7</v>
      </c>
      <c r="E59" s="480"/>
      <c r="F59" s="548">
        <f>0.5*(MAX(C59:E59)-MIN(C59:E59))</f>
        <v>0</v>
      </c>
      <c r="G59" s="112">
        <f>(0/100)*B59</f>
        <v>0</v>
      </c>
      <c r="H59" s="975"/>
      <c r="I59" s="112">
        <v>0.01</v>
      </c>
      <c r="J59" s="549">
        <v>9.9999999999999995E-7</v>
      </c>
      <c r="K59" s="549">
        <v>9.9999999999999995E-7</v>
      </c>
      <c r="L59" s="480"/>
      <c r="M59" s="548">
        <f>0.5*(MAX(J59:L59)-MIN(J59:L59))</f>
        <v>0</v>
      </c>
      <c r="N59" s="112">
        <f>(1.2/100)*I59</f>
        <v>1.2E-4</v>
      </c>
      <c r="O59" s="975"/>
      <c r="P59" s="112">
        <v>0.01</v>
      </c>
      <c r="Q59" s="549">
        <v>0</v>
      </c>
      <c r="R59" s="549">
        <v>9.9999999999999995E-7</v>
      </c>
      <c r="S59" s="112">
        <v>9.9999999999999995E-7</v>
      </c>
      <c r="T59" s="548">
        <f>0.5*(MAX(Q59:S59)-MIN(Q59:S59))</f>
        <v>4.9999999999999998E-7</v>
      </c>
      <c r="U59" s="112">
        <f>(1.2/100)*P59</f>
        <v>1.2E-4</v>
      </c>
    </row>
    <row r="60" spans="1:21" x14ac:dyDescent="0.25">
      <c r="A60" s="973"/>
      <c r="B60" s="112">
        <v>0.1</v>
      </c>
      <c r="C60" s="549">
        <v>-2E-3</v>
      </c>
      <c r="D60" s="549">
        <v>9.9999999999999995E-7</v>
      </c>
      <c r="E60" s="480"/>
      <c r="F60" s="548">
        <f>0.5*(MAX(C60:E60)-MIN(C60:E60))</f>
        <v>1.0005000000000001E-3</v>
      </c>
      <c r="G60" s="112">
        <f>(1.2/100)*B60</f>
        <v>1.2000000000000001E-3</v>
      </c>
      <c r="H60" s="975"/>
      <c r="I60" s="112">
        <v>0.1</v>
      </c>
      <c r="J60" s="549">
        <v>5.0000000000000001E-3</v>
      </c>
      <c r="K60" s="549">
        <v>2E-3</v>
      </c>
      <c r="L60" s="480"/>
      <c r="M60" s="548">
        <f>0.5*(MAX(J60:L60)-MIN(J60:L60))</f>
        <v>1.5E-3</v>
      </c>
      <c r="N60" s="112">
        <f>(1.2/100)*I60</f>
        <v>1.2000000000000001E-3</v>
      </c>
      <c r="O60" s="975"/>
      <c r="P60" s="112">
        <v>0.1</v>
      </c>
      <c r="Q60" s="549">
        <v>-3.0000000000000001E-3</v>
      </c>
      <c r="R60" s="549">
        <v>-2E-3</v>
      </c>
      <c r="S60" s="112">
        <v>6.0000000000000001E-3</v>
      </c>
      <c r="T60" s="548">
        <f>0.5*(MAX(Q60:S60)-MIN(Q60:S60))</f>
        <v>4.5000000000000005E-3</v>
      </c>
      <c r="U60" s="112">
        <f>(1.2/100)*P60</f>
        <v>1.2000000000000001E-3</v>
      </c>
    </row>
    <row r="61" spans="1:21" x14ac:dyDescent="0.25">
      <c r="A61" s="973"/>
      <c r="B61" s="112">
        <v>1</v>
      </c>
      <c r="C61" s="549">
        <v>-8.0000000000000002E-3</v>
      </c>
      <c r="D61" s="549">
        <v>-1E-3</v>
      </c>
      <c r="E61" s="480"/>
      <c r="F61" s="548">
        <f>0.5*(MAX(C61:E61)-MIN(C61:E61))</f>
        <v>3.5000000000000001E-3</v>
      </c>
      <c r="G61" s="112">
        <f>(1.2/100)*B61</f>
        <v>1.2E-2</v>
      </c>
      <c r="H61" s="975"/>
      <c r="I61" s="112">
        <v>1</v>
      </c>
      <c r="J61" s="549">
        <v>1.7999999999999999E-2</v>
      </c>
      <c r="K61" s="549">
        <v>1.2E-2</v>
      </c>
      <c r="L61" s="480"/>
      <c r="M61" s="548">
        <f>0.5*(MAX(J61:L61)-MIN(J61:L61))</f>
        <v>2.9999999999999992E-3</v>
      </c>
      <c r="N61" s="112">
        <f>(1.2/100)*I61</f>
        <v>1.2E-2</v>
      </c>
      <c r="O61" s="975"/>
      <c r="P61" s="112">
        <v>1</v>
      </c>
      <c r="Q61" s="549">
        <v>-7.0000000000000001E-3</v>
      </c>
      <c r="R61" s="549">
        <v>-1E-3</v>
      </c>
      <c r="S61" s="112">
        <v>8.0000000000000002E-3</v>
      </c>
      <c r="T61" s="548">
        <f>0.5*(MAX(Q61:S61)-MIN(Q61:S61))</f>
        <v>7.4999999999999997E-3</v>
      </c>
      <c r="U61" s="112">
        <f>(1.2/100)*P61</f>
        <v>1.2E-2</v>
      </c>
    </row>
    <row r="62" spans="1:21" x14ac:dyDescent="0.25">
      <c r="A62" s="973"/>
      <c r="B62" s="112">
        <v>2</v>
      </c>
      <c r="C62" s="549">
        <v>-7.0000000000000001E-3</v>
      </c>
      <c r="D62" s="549">
        <v>9.9999999999999995E-7</v>
      </c>
      <c r="E62" s="480"/>
      <c r="F62" s="548">
        <f>0.5*(MAX(C62:E62)-MIN(C62:E62))</f>
        <v>3.5005000000000001E-3</v>
      </c>
      <c r="G62" s="112">
        <f>(1.2/100)*B62</f>
        <v>2.4E-2</v>
      </c>
      <c r="H62" s="975"/>
      <c r="I62" s="430">
        <v>2</v>
      </c>
      <c r="J62" s="554">
        <v>0.113</v>
      </c>
      <c r="K62" s="554">
        <v>9.9999999999999995E-7</v>
      </c>
      <c r="L62" s="480"/>
      <c r="M62" s="555">
        <f>0.5*(MAX(J62:L62)-MIN(J62:L62))</f>
        <v>5.6499500000000001E-2</v>
      </c>
      <c r="N62" s="112">
        <f>(1.2/100)*I62</f>
        <v>2.4E-2</v>
      </c>
      <c r="O62" s="975"/>
      <c r="P62" s="112">
        <v>2</v>
      </c>
      <c r="Q62" s="549">
        <v>-7.0000000000000001E-3</v>
      </c>
      <c r="R62" s="549">
        <v>9.9999999999999995E-7</v>
      </c>
      <c r="S62" s="112">
        <v>9.9999999999999995E-7</v>
      </c>
      <c r="T62" s="548">
        <f>0.5*(MAX(Q62:S62)-MIN(Q62:S62))</f>
        <v>3.5005000000000001E-3</v>
      </c>
      <c r="U62" s="112">
        <f>(0/100)*P62</f>
        <v>0</v>
      </c>
    </row>
    <row r="63" spans="1:21" ht="15.5" x14ac:dyDescent="0.25">
      <c r="A63" s="556"/>
      <c r="B63" s="453"/>
      <c r="C63" s="453"/>
      <c r="D63" s="557"/>
      <c r="E63" s="557"/>
      <c r="F63" s="557"/>
      <c r="H63" s="558"/>
      <c r="I63" s="559"/>
      <c r="J63" s="453"/>
      <c r="K63" s="557"/>
      <c r="L63" s="557"/>
      <c r="M63" s="557"/>
      <c r="O63" s="558"/>
      <c r="P63" s="453"/>
      <c r="Q63" s="453"/>
      <c r="T63" s="442"/>
    </row>
    <row r="64" spans="1:21" ht="14.5" customHeight="1" x14ac:dyDescent="0.25">
      <c r="A64" s="973" t="s">
        <v>92</v>
      </c>
      <c r="B64" s="987" t="s">
        <v>236</v>
      </c>
      <c r="C64" s="987"/>
      <c r="D64" s="987"/>
      <c r="E64" s="987"/>
      <c r="F64" s="987"/>
      <c r="G64" s="987"/>
      <c r="H64" s="975" t="s">
        <v>237</v>
      </c>
      <c r="I64" s="987" t="s">
        <v>238</v>
      </c>
      <c r="J64" s="987"/>
      <c r="K64" s="987"/>
      <c r="L64" s="987"/>
      <c r="M64" s="987"/>
      <c r="N64" s="987"/>
      <c r="O64" s="975" t="s">
        <v>50</v>
      </c>
      <c r="P64" s="987" t="s">
        <v>239</v>
      </c>
      <c r="Q64" s="987"/>
      <c r="R64" s="987"/>
      <c r="S64" s="987"/>
      <c r="T64" s="987"/>
      <c r="U64" s="987"/>
    </row>
    <row r="65" spans="1:21" ht="14" x14ac:dyDescent="0.3">
      <c r="A65" s="973"/>
      <c r="B65" s="976" t="s">
        <v>219</v>
      </c>
      <c r="C65" s="976"/>
      <c r="D65" s="976"/>
      <c r="E65" s="976"/>
      <c r="F65" s="976"/>
      <c r="G65" s="976"/>
      <c r="H65" s="975"/>
      <c r="I65" s="977" t="s">
        <v>219</v>
      </c>
      <c r="J65" s="977"/>
      <c r="K65" s="977"/>
      <c r="L65" s="977"/>
      <c r="M65" s="977"/>
      <c r="N65" s="977"/>
      <c r="O65" s="975"/>
      <c r="P65" s="977" t="s">
        <v>219</v>
      </c>
      <c r="Q65" s="977"/>
      <c r="R65" s="977"/>
      <c r="S65" s="977"/>
      <c r="T65" s="977"/>
      <c r="U65" s="977"/>
    </row>
    <row r="66" spans="1:21" ht="13" x14ac:dyDescent="0.25">
      <c r="A66" s="973"/>
      <c r="B66" s="978" t="s">
        <v>220</v>
      </c>
      <c r="C66" s="978"/>
      <c r="D66" s="978"/>
      <c r="E66" s="978"/>
      <c r="F66" s="978" t="s">
        <v>221</v>
      </c>
      <c r="G66" s="978" t="s">
        <v>222</v>
      </c>
      <c r="H66" s="975"/>
      <c r="I66" s="978" t="str">
        <f>B66</f>
        <v>Setting VAC</v>
      </c>
      <c r="J66" s="978"/>
      <c r="K66" s="978"/>
      <c r="L66" s="978"/>
      <c r="M66" s="978" t="s">
        <v>221</v>
      </c>
      <c r="N66" s="978" t="s">
        <v>222</v>
      </c>
      <c r="O66" s="975"/>
      <c r="P66" s="978" t="str">
        <f>B66</f>
        <v>Setting VAC</v>
      </c>
      <c r="Q66" s="978"/>
      <c r="R66" s="978"/>
      <c r="S66" s="978"/>
      <c r="T66" s="978" t="s">
        <v>221</v>
      </c>
      <c r="U66" s="978" t="s">
        <v>222</v>
      </c>
    </row>
    <row r="67" spans="1:21" ht="14" x14ac:dyDescent="0.25">
      <c r="A67" s="973"/>
      <c r="B67" s="544" t="s">
        <v>223</v>
      </c>
      <c r="C67" s="545">
        <v>2022</v>
      </c>
      <c r="D67" s="545">
        <v>2020</v>
      </c>
      <c r="E67" s="545">
        <v>2018</v>
      </c>
      <c r="F67" s="978"/>
      <c r="G67" s="978"/>
      <c r="H67" s="975"/>
      <c r="I67" s="544" t="s">
        <v>223</v>
      </c>
      <c r="J67" s="545">
        <v>2022</v>
      </c>
      <c r="K67" s="545">
        <v>2020</v>
      </c>
      <c r="L67" s="545">
        <v>2016</v>
      </c>
      <c r="M67" s="978"/>
      <c r="N67" s="978"/>
      <c r="O67" s="975"/>
      <c r="P67" s="544" t="s">
        <v>223</v>
      </c>
      <c r="Q67" s="545">
        <v>2022</v>
      </c>
      <c r="R67" s="545">
        <v>2020</v>
      </c>
      <c r="S67" s="545">
        <v>2016</v>
      </c>
      <c r="T67" s="978"/>
      <c r="U67" s="978"/>
    </row>
    <row r="68" spans="1:21" ht="13" x14ac:dyDescent="0.25">
      <c r="A68" s="973"/>
      <c r="B68" s="547">
        <v>150</v>
      </c>
      <c r="C68" s="112">
        <v>0.36</v>
      </c>
      <c r="D68" s="112">
        <v>0.21</v>
      </c>
      <c r="E68" s="112">
        <v>0.27</v>
      </c>
      <c r="F68" s="548">
        <f t="shared" ref="F68:F73" si="15">0.5*(MAX(C68:E68)-MIN(C68:E68))</f>
        <v>7.4999999999999997E-2</v>
      </c>
      <c r="G68" s="547">
        <f t="shared" ref="G68:G73" si="16">(1.2/100)*B68</f>
        <v>1.8</v>
      </c>
      <c r="H68" s="975"/>
      <c r="I68" s="547">
        <v>150</v>
      </c>
      <c r="J68" s="560">
        <v>-0.17</v>
      </c>
      <c r="K68" s="560">
        <v>-0.24</v>
      </c>
      <c r="L68" s="480"/>
      <c r="M68" s="548">
        <f t="shared" ref="M68:M73" si="17">0.5*(MAX(J68:L68)-MIN(J68:L68))</f>
        <v>3.4999999999999989E-2</v>
      </c>
      <c r="N68" s="547">
        <f t="shared" ref="N68:N73" si="18">(1.2/100)*I68</f>
        <v>1.8</v>
      </c>
      <c r="O68" s="975"/>
      <c r="P68" s="547">
        <v>150</v>
      </c>
      <c r="Q68" s="560">
        <v>-0.08</v>
      </c>
      <c r="R68" s="560">
        <v>-0.17</v>
      </c>
      <c r="S68" s="480"/>
      <c r="T68" s="548">
        <f t="shared" ref="T68:T73" si="19">0.5*(MAX(Q68:S68)-MIN(Q68:S68))</f>
        <v>4.5000000000000005E-2</v>
      </c>
      <c r="U68" s="547">
        <f t="shared" ref="U68:U73" si="20">(1.2/100)*P68</f>
        <v>1.8</v>
      </c>
    </row>
    <row r="69" spans="1:21" ht="13" x14ac:dyDescent="0.25">
      <c r="A69" s="973"/>
      <c r="B69" s="547">
        <v>180</v>
      </c>
      <c r="C69" s="112">
        <v>0.46</v>
      </c>
      <c r="D69" s="112">
        <v>0.33</v>
      </c>
      <c r="E69" s="112">
        <v>0.37</v>
      </c>
      <c r="F69" s="548">
        <f t="shared" si="15"/>
        <v>6.5000000000000002E-2</v>
      </c>
      <c r="G69" s="547">
        <f t="shared" si="16"/>
        <v>2.16</v>
      </c>
      <c r="H69" s="975"/>
      <c r="I69" s="547">
        <v>180</v>
      </c>
      <c r="J69" s="560">
        <v>-0.39</v>
      </c>
      <c r="K69" s="560">
        <v>-0.14000000000000001</v>
      </c>
      <c r="L69" s="480"/>
      <c r="M69" s="548">
        <f t="shared" si="17"/>
        <v>0.125</v>
      </c>
      <c r="N69" s="547">
        <f t="shared" si="18"/>
        <v>2.16</v>
      </c>
      <c r="O69" s="975"/>
      <c r="P69" s="547">
        <v>180</v>
      </c>
      <c r="Q69" s="560">
        <v>-0.2</v>
      </c>
      <c r="R69" s="560">
        <v>-0.22</v>
      </c>
      <c r="S69" s="480"/>
      <c r="T69" s="548">
        <f t="shared" si="19"/>
        <v>9.999999999999995E-3</v>
      </c>
      <c r="U69" s="547">
        <f t="shared" si="20"/>
        <v>2.16</v>
      </c>
    </row>
    <row r="70" spans="1:21" x14ac:dyDescent="0.25">
      <c r="A70" s="973"/>
      <c r="B70" s="112">
        <v>200</v>
      </c>
      <c r="C70" s="112">
        <v>0.52</v>
      </c>
      <c r="D70" s="112">
        <v>0.34</v>
      </c>
      <c r="E70" s="112">
        <v>0.4</v>
      </c>
      <c r="F70" s="548">
        <f t="shared" si="15"/>
        <v>0.09</v>
      </c>
      <c r="G70" s="547">
        <f t="shared" si="16"/>
        <v>2.4</v>
      </c>
      <c r="H70" s="975"/>
      <c r="I70" s="112">
        <v>200</v>
      </c>
      <c r="J70" s="112">
        <v>-0.23</v>
      </c>
      <c r="K70" s="112">
        <v>-0.33</v>
      </c>
      <c r="L70" s="480"/>
      <c r="M70" s="548">
        <f t="shared" si="17"/>
        <v>0.05</v>
      </c>
      <c r="N70" s="547">
        <f>(1.2/100)*I70</f>
        <v>2.4</v>
      </c>
      <c r="O70" s="975"/>
      <c r="P70" s="112">
        <v>200</v>
      </c>
      <c r="Q70" s="112">
        <v>-0.25</v>
      </c>
      <c r="R70" s="112">
        <v>-0.33</v>
      </c>
      <c r="S70" s="480"/>
      <c r="T70" s="548">
        <f t="shared" si="19"/>
        <v>4.0000000000000008E-2</v>
      </c>
      <c r="U70" s="547">
        <f t="shared" si="20"/>
        <v>2.4</v>
      </c>
    </row>
    <row r="71" spans="1:21" x14ac:dyDescent="0.25">
      <c r="A71" s="973"/>
      <c r="B71" s="112">
        <v>220</v>
      </c>
      <c r="C71" s="112">
        <v>0.57999999999999996</v>
      </c>
      <c r="D71" s="112">
        <v>0.37</v>
      </c>
      <c r="E71" s="112">
        <v>0.38</v>
      </c>
      <c r="F71" s="548">
        <f t="shared" si="15"/>
        <v>0.10499999999999998</v>
      </c>
      <c r="G71" s="547">
        <f t="shared" si="16"/>
        <v>2.64</v>
      </c>
      <c r="H71" s="975"/>
      <c r="I71" s="112">
        <v>220</v>
      </c>
      <c r="J71" s="112">
        <v>-0.16</v>
      </c>
      <c r="K71" s="112">
        <v>-0.45</v>
      </c>
      <c r="L71" s="480"/>
      <c r="M71" s="548">
        <f t="shared" si="17"/>
        <v>0.14500000000000002</v>
      </c>
      <c r="N71" s="547">
        <f t="shared" si="18"/>
        <v>2.64</v>
      </c>
      <c r="O71" s="975"/>
      <c r="P71" s="112">
        <v>220</v>
      </c>
      <c r="Q71" s="112">
        <v>-0.28999999999999998</v>
      </c>
      <c r="R71" s="112">
        <v>-0.39</v>
      </c>
      <c r="S71" s="480"/>
      <c r="T71" s="548">
        <f t="shared" si="19"/>
        <v>5.0000000000000017E-2</v>
      </c>
      <c r="U71" s="547">
        <f t="shared" si="20"/>
        <v>2.64</v>
      </c>
    </row>
    <row r="72" spans="1:21" x14ac:dyDescent="0.25">
      <c r="A72" s="973"/>
      <c r="B72" s="112">
        <v>230</v>
      </c>
      <c r="C72" s="112">
        <v>0.47</v>
      </c>
      <c r="D72" s="112">
        <v>0.47</v>
      </c>
      <c r="E72" s="112">
        <v>0.4</v>
      </c>
      <c r="F72" s="548">
        <f t="shared" si="15"/>
        <v>3.4999999999999976E-2</v>
      </c>
      <c r="G72" s="547">
        <f t="shared" si="16"/>
        <v>2.7600000000000002</v>
      </c>
      <c r="H72" s="975"/>
      <c r="I72" s="112">
        <v>230</v>
      </c>
      <c r="J72" s="112">
        <v>-0.15</v>
      </c>
      <c r="K72" s="112">
        <v>-0.54</v>
      </c>
      <c r="L72" s="480"/>
      <c r="M72" s="548">
        <f t="shared" si="17"/>
        <v>0.19500000000000001</v>
      </c>
      <c r="N72" s="547">
        <f t="shared" si="18"/>
        <v>2.7600000000000002</v>
      </c>
      <c r="O72" s="975"/>
      <c r="P72" s="112">
        <v>230</v>
      </c>
      <c r="Q72" s="112">
        <v>-0.34</v>
      </c>
      <c r="R72" s="112">
        <v>-0.39</v>
      </c>
      <c r="S72" s="480"/>
      <c r="T72" s="548">
        <f t="shared" si="19"/>
        <v>2.4999999999999994E-2</v>
      </c>
      <c r="U72" s="547">
        <f t="shared" si="20"/>
        <v>2.7600000000000002</v>
      </c>
    </row>
    <row r="73" spans="1:21" x14ac:dyDescent="0.25">
      <c r="A73" s="973"/>
      <c r="B73" s="112">
        <v>240</v>
      </c>
      <c r="C73" s="112">
        <v>0</v>
      </c>
      <c r="D73" s="112">
        <v>0.38</v>
      </c>
      <c r="E73" s="112">
        <v>9.9999999999999995E-7</v>
      </c>
      <c r="F73" s="548">
        <f t="shared" si="15"/>
        <v>0.19</v>
      </c>
      <c r="G73" s="547">
        <f t="shared" si="16"/>
        <v>2.88</v>
      </c>
      <c r="H73" s="975"/>
      <c r="I73" s="112">
        <v>250</v>
      </c>
      <c r="J73" s="112">
        <v>9.9999999999999995E-7</v>
      </c>
      <c r="K73" s="112">
        <v>-0.49</v>
      </c>
      <c r="L73" s="480"/>
      <c r="M73" s="548">
        <f t="shared" si="17"/>
        <v>0.24500049999999998</v>
      </c>
      <c r="N73" s="547">
        <f t="shared" si="18"/>
        <v>3</v>
      </c>
      <c r="O73" s="975"/>
      <c r="P73" s="112">
        <v>250</v>
      </c>
      <c r="Q73" s="112">
        <v>0</v>
      </c>
      <c r="R73" s="112">
        <v>-0.39</v>
      </c>
      <c r="S73" s="480"/>
      <c r="T73" s="548">
        <f t="shared" si="19"/>
        <v>0.19500000000000001</v>
      </c>
      <c r="U73" s="547">
        <f t="shared" si="20"/>
        <v>3</v>
      </c>
    </row>
    <row r="74" spans="1:21" ht="12.75" customHeight="1" x14ac:dyDescent="0.25">
      <c r="A74" s="973"/>
      <c r="B74" s="979" t="s">
        <v>224</v>
      </c>
      <c r="C74" s="979"/>
      <c r="D74" s="979"/>
      <c r="E74" s="979"/>
      <c r="F74" s="978" t="s">
        <v>221</v>
      </c>
      <c r="G74" s="978" t="s">
        <v>222</v>
      </c>
      <c r="H74" s="975"/>
      <c r="I74" s="979" t="str">
        <f>B74</f>
        <v>Current Leakage</v>
      </c>
      <c r="J74" s="979"/>
      <c r="K74" s="979"/>
      <c r="L74" s="979"/>
      <c r="M74" s="978" t="s">
        <v>221</v>
      </c>
      <c r="N74" s="978" t="s">
        <v>222</v>
      </c>
      <c r="O74" s="975"/>
      <c r="P74" s="979" t="str">
        <f>B74</f>
        <v>Current Leakage</v>
      </c>
      <c r="Q74" s="979"/>
      <c r="R74" s="979"/>
      <c r="S74" s="979"/>
      <c r="T74" s="978" t="s">
        <v>221</v>
      </c>
      <c r="U74" s="978" t="s">
        <v>222</v>
      </c>
    </row>
    <row r="75" spans="1:21" ht="14" x14ac:dyDescent="0.25">
      <c r="A75" s="973"/>
      <c r="B75" s="544" t="s">
        <v>225</v>
      </c>
      <c r="C75" s="545">
        <f>C67</f>
        <v>2022</v>
      </c>
      <c r="D75" s="545">
        <f>D67</f>
        <v>2020</v>
      </c>
      <c r="E75" s="545">
        <f>E67</f>
        <v>2018</v>
      </c>
      <c r="F75" s="978"/>
      <c r="G75" s="978"/>
      <c r="H75" s="975"/>
      <c r="I75" s="544" t="s">
        <v>225</v>
      </c>
      <c r="J75" s="545">
        <f>J67</f>
        <v>2022</v>
      </c>
      <c r="K75" s="545">
        <f>K67</f>
        <v>2020</v>
      </c>
      <c r="L75" s="545">
        <f>L67</f>
        <v>2016</v>
      </c>
      <c r="M75" s="978"/>
      <c r="N75" s="978"/>
      <c r="O75" s="975"/>
      <c r="P75" s="544" t="s">
        <v>225</v>
      </c>
      <c r="Q75" s="545">
        <f>Q67</f>
        <v>2022</v>
      </c>
      <c r="R75" s="545">
        <f>R67</f>
        <v>2020</v>
      </c>
      <c r="S75" s="545">
        <f>S67</f>
        <v>2016</v>
      </c>
      <c r="T75" s="978"/>
      <c r="U75" s="978"/>
    </row>
    <row r="76" spans="1:21" x14ac:dyDescent="0.25">
      <c r="A76" s="973"/>
      <c r="B76" s="112">
        <v>0</v>
      </c>
      <c r="C76" s="112">
        <v>0</v>
      </c>
      <c r="D76" s="112">
        <v>9.9999999999999995E-7</v>
      </c>
      <c r="E76" s="112">
        <v>9.9999999999999995E-7</v>
      </c>
      <c r="F76" s="548">
        <f t="shared" ref="F76:F81" si="21">0.5*(MAX(C76:E76)-MIN(C76:E76))</f>
        <v>4.9999999999999998E-7</v>
      </c>
      <c r="G76" s="112">
        <v>0.3</v>
      </c>
      <c r="H76" s="975"/>
      <c r="I76" s="112">
        <v>0</v>
      </c>
      <c r="J76" s="112">
        <v>9.9999999999999995E-7</v>
      </c>
      <c r="K76" s="112">
        <v>9.9999999999999995E-7</v>
      </c>
      <c r="L76" s="480"/>
      <c r="M76" s="548">
        <f t="shared" ref="M76:M81" si="22">0.5*(MAX(J76:L76)-MIN(J76:L76))</f>
        <v>0</v>
      </c>
      <c r="N76" s="112">
        <f t="shared" ref="N76:N81" si="23">(0.59/100)*I76</f>
        <v>0</v>
      </c>
      <c r="O76" s="975"/>
      <c r="P76" s="112">
        <v>0</v>
      </c>
      <c r="Q76" s="112">
        <v>0</v>
      </c>
      <c r="R76" s="112">
        <v>9.9999999999999995E-7</v>
      </c>
      <c r="S76" s="480"/>
      <c r="T76" s="548">
        <f t="shared" ref="T76:T81" si="24">0.5*(MAX(Q76:S76)-MIN(Q76:S76))</f>
        <v>4.9999999999999998E-7</v>
      </c>
      <c r="U76" s="112">
        <v>0.12</v>
      </c>
    </row>
    <row r="77" spans="1:21" x14ac:dyDescent="0.25">
      <c r="A77" s="973"/>
      <c r="B77" s="112">
        <v>50</v>
      </c>
      <c r="C77" s="112">
        <v>1.9</v>
      </c>
      <c r="D77" s="112">
        <v>1.7</v>
      </c>
      <c r="E77" s="112">
        <v>2.1</v>
      </c>
      <c r="F77" s="548">
        <f t="shared" si="21"/>
        <v>0.20000000000000007</v>
      </c>
      <c r="G77" s="112">
        <f>(0.59/100)*B77</f>
        <v>0.29499999999999998</v>
      </c>
      <c r="H77" s="975"/>
      <c r="I77" s="112">
        <v>20</v>
      </c>
      <c r="J77" s="126">
        <v>6.6</v>
      </c>
      <c r="K77" s="112">
        <v>0.9</v>
      </c>
      <c r="L77" s="480"/>
      <c r="M77" s="548">
        <f t="shared" si="22"/>
        <v>2.8499999999999996</v>
      </c>
      <c r="N77" s="112">
        <f t="shared" si="23"/>
        <v>0.11799999999999999</v>
      </c>
      <c r="O77" s="975"/>
      <c r="P77" s="112">
        <v>20</v>
      </c>
      <c r="Q77" s="112">
        <v>4.9000000000000004</v>
      </c>
      <c r="R77" s="112">
        <v>0.8</v>
      </c>
      <c r="S77" s="480"/>
      <c r="T77" s="548">
        <f t="shared" si="24"/>
        <v>2.0500000000000003</v>
      </c>
      <c r="U77" s="112">
        <f>(0.59/100)*P77</f>
        <v>0.11799999999999999</v>
      </c>
    </row>
    <row r="78" spans="1:21" x14ac:dyDescent="0.25">
      <c r="A78" s="973"/>
      <c r="B78" s="112">
        <v>100</v>
      </c>
      <c r="C78" s="112">
        <v>1.7</v>
      </c>
      <c r="D78" s="112">
        <v>1.7</v>
      </c>
      <c r="E78" s="112">
        <v>2.2000000000000002</v>
      </c>
      <c r="F78" s="548">
        <f t="shared" si="21"/>
        <v>0.25000000000000011</v>
      </c>
      <c r="G78" s="112">
        <f>(0.59/100)*B78</f>
        <v>0.59</v>
      </c>
      <c r="H78" s="975"/>
      <c r="I78" s="112">
        <v>50</v>
      </c>
      <c r="J78" s="126">
        <v>5</v>
      </c>
      <c r="K78" s="126">
        <v>2.1</v>
      </c>
      <c r="L78" s="480"/>
      <c r="M78" s="548">
        <f t="shared" si="22"/>
        <v>1.45</v>
      </c>
      <c r="N78" s="112">
        <f t="shared" si="23"/>
        <v>0.29499999999999998</v>
      </c>
      <c r="O78" s="975"/>
      <c r="P78" s="112">
        <v>50</v>
      </c>
      <c r="Q78" s="126">
        <v>9.1999999999999993</v>
      </c>
      <c r="R78" s="126">
        <v>1.7</v>
      </c>
      <c r="S78" s="480"/>
      <c r="T78" s="548">
        <f t="shared" si="24"/>
        <v>3.7499999999999996</v>
      </c>
      <c r="U78" s="112">
        <f>(0.59/100)*P78</f>
        <v>0.29499999999999998</v>
      </c>
    </row>
    <row r="79" spans="1:21" x14ac:dyDescent="0.25">
      <c r="A79" s="973"/>
      <c r="B79" s="112">
        <v>200</v>
      </c>
      <c r="C79" s="112">
        <v>1.5</v>
      </c>
      <c r="D79" s="112">
        <v>0.4</v>
      </c>
      <c r="E79" s="112">
        <v>2.4</v>
      </c>
      <c r="F79" s="548">
        <f t="shared" si="21"/>
        <v>1</v>
      </c>
      <c r="G79" s="112">
        <f>(0.59/100)*B79</f>
        <v>1.18</v>
      </c>
      <c r="H79" s="975"/>
      <c r="I79" s="112">
        <v>200</v>
      </c>
      <c r="J79" s="112">
        <v>-8.1999999999999993</v>
      </c>
      <c r="K79" s="112">
        <v>3.7</v>
      </c>
      <c r="L79" s="480"/>
      <c r="M79" s="548">
        <f t="shared" si="22"/>
        <v>5.9499999999999993</v>
      </c>
      <c r="N79" s="112">
        <f t="shared" si="23"/>
        <v>1.18</v>
      </c>
      <c r="O79" s="975"/>
      <c r="P79" s="112">
        <v>200</v>
      </c>
      <c r="Q79" s="112">
        <v>-0.2</v>
      </c>
      <c r="R79" s="112">
        <v>3.4</v>
      </c>
      <c r="S79" s="480"/>
      <c r="T79" s="548">
        <f t="shared" si="24"/>
        <v>1.8</v>
      </c>
      <c r="U79" s="112">
        <f>(0.59/100)*P79</f>
        <v>1.18</v>
      </c>
    </row>
    <row r="80" spans="1:21" x14ac:dyDescent="0.25">
      <c r="A80" s="973"/>
      <c r="B80" s="112">
        <v>500</v>
      </c>
      <c r="C80" s="112">
        <v>0.9</v>
      </c>
      <c r="D80" s="112">
        <v>3</v>
      </c>
      <c r="E80" s="112">
        <v>3.3</v>
      </c>
      <c r="F80" s="548">
        <f t="shared" si="21"/>
        <v>1.2</v>
      </c>
      <c r="G80" s="112">
        <f>(0.59/100)*B80</f>
        <v>2.9499999999999997</v>
      </c>
      <c r="H80" s="975"/>
      <c r="I80" s="112">
        <v>500</v>
      </c>
      <c r="J80" s="112">
        <v>-31.8</v>
      </c>
      <c r="K80" s="112">
        <v>8.3000000000000007</v>
      </c>
      <c r="L80" s="480"/>
      <c r="M80" s="548">
        <f t="shared" si="22"/>
        <v>20.05</v>
      </c>
      <c r="N80" s="112">
        <f t="shared" si="23"/>
        <v>2.9499999999999997</v>
      </c>
      <c r="O80" s="975"/>
      <c r="P80" s="112">
        <v>500</v>
      </c>
      <c r="Q80" s="112">
        <v>-25.1</v>
      </c>
      <c r="R80" s="112">
        <v>7.2</v>
      </c>
      <c r="S80" s="480"/>
      <c r="T80" s="548">
        <f t="shared" si="24"/>
        <v>16.150000000000002</v>
      </c>
      <c r="U80" s="112">
        <f>(0.59/100)*P80</f>
        <v>2.9499999999999997</v>
      </c>
    </row>
    <row r="81" spans="1:21" x14ac:dyDescent="0.25">
      <c r="A81" s="973"/>
      <c r="B81" s="112">
        <v>1000</v>
      </c>
      <c r="C81" s="112">
        <v>0</v>
      </c>
      <c r="D81" s="112">
        <v>9.9999999999999995E-7</v>
      </c>
      <c r="E81" s="112">
        <v>9.9999999999999995E-7</v>
      </c>
      <c r="F81" s="548">
        <f t="shared" si="21"/>
        <v>4.9999999999999998E-7</v>
      </c>
      <c r="G81" s="112">
        <v>2.95</v>
      </c>
      <c r="H81" s="975"/>
      <c r="I81" s="112">
        <v>1000</v>
      </c>
      <c r="J81" s="112">
        <v>-74</v>
      </c>
      <c r="K81" s="112">
        <v>9.9999999999999995E-7</v>
      </c>
      <c r="L81" s="480"/>
      <c r="M81" s="548">
        <f t="shared" si="22"/>
        <v>37.000000499999999</v>
      </c>
      <c r="N81" s="112">
        <f t="shared" si="23"/>
        <v>5.8999999999999995</v>
      </c>
      <c r="O81" s="975"/>
      <c r="P81" s="112">
        <v>1000</v>
      </c>
      <c r="Q81" s="112">
        <v>-6.6000000000000003E-2</v>
      </c>
      <c r="R81" s="112">
        <v>9.9999999999999995E-7</v>
      </c>
      <c r="S81" s="480"/>
      <c r="T81" s="548">
        <f t="shared" si="24"/>
        <v>3.3000500000000002E-2</v>
      </c>
      <c r="U81" s="112">
        <v>2.99</v>
      </c>
    </row>
    <row r="82" spans="1:21" ht="13" x14ac:dyDescent="0.25">
      <c r="A82" s="973"/>
      <c r="B82" s="979" t="s">
        <v>226</v>
      </c>
      <c r="C82" s="979"/>
      <c r="D82" s="979"/>
      <c r="E82" s="979"/>
      <c r="F82" s="978" t="s">
        <v>221</v>
      </c>
      <c r="G82" s="978" t="s">
        <v>222</v>
      </c>
      <c r="H82" s="975"/>
      <c r="I82" s="979" t="s">
        <v>226</v>
      </c>
      <c r="J82" s="979"/>
      <c r="K82" s="979"/>
      <c r="L82" s="979"/>
      <c r="M82" s="978" t="s">
        <v>221</v>
      </c>
      <c r="N82" s="978" t="s">
        <v>222</v>
      </c>
      <c r="O82" s="975"/>
      <c r="P82" s="979" t="str">
        <f>B82</f>
        <v>Main-PE</v>
      </c>
      <c r="Q82" s="979"/>
      <c r="R82" s="979"/>
      <c r="S82" s="979"/>
      <c r="T82" s="978" t="s">
        <v>221</v>
      </c>
      <c r="U82" s="978" t="s">
        <v>222</v>
      </c>
    </row>
    <row r="83" spans="1:21" ht="14.5" x14ac:dyDescent="0.25">
      <c r="A83" s="973"/>
      <c r="B83" s="544" t="s">
        <v>227</v>
      </c>
      <c r="C83" s="545">
        <f>C67</f>
        <v>2022</v>
      </c>
      <c r="D83" s="545">
        <f>D67</f>
        <v>2020</v>
      </c>
      <c r="E83" s="545">
        <f>E67</f>
        <v>2018</v>
      </c>
      <c r="F83" s="978"/>
      <c r="G83" s="978"/>
      <c r="H83" s="975"/>
      <c r="I83" s="544" t="s">
        <v>227</v>
      </c>
      <c r="J83" s="545">
        <f>J67</f>
        <v>2022</v>
      </c>
      <c r="K83" s="545">
        <f>K67</f>
        <v>2020</v>
      </c>
      <c r="L83" s="545">
        <f>L67</f>
        <v>2016</v>
      </c>
      <c r="M83" s="978"/>
      <c r="N83" s="978"/>
      <c r="O83" s="975"/>
      <c r="P83" s="544" t="s">
        <v>227</v>
      </c>
      <c r="Q83" s="545">
        <f>Q67</f>
        <v>2022</v>
      </c>
      <c r="R83" s="545">
        <f>R67</f>
        <v>2020</v>
      </c>
      <c r="S83" s="545">
        <f>S67</f>
        <v>2016</v>
      </c>
      <c r="T83" s="978"/>
      <c r="U83" s="978"/>
    </row>
    <row r="84" spans="1:21" x14ac:dyDescent="0.25">
      <c r="A84" s="973"/>
      <c r="B84" s="112">
        <v>10</v>
      </c>
      <c r="C84" s="112">
        <v>0</v>
      </c>
      <c r="D84" s="112">
        <v>9.9999999999999995E-7</v>
      </c>
      <c r="E84" s="112">
        <v>9.9999999999999995E-7</v>
      </c>
      <c r="F84" s="548">
        <f>0.5*(MAX(C84:E84)-MIN(C84:E84))</f>
        <v>4.9999999999999998E-7</v>
      </c>
      <c r="G84" s="112">
        <f>(1.7/100)*B84</f>
        <v>0.17</v>
      </c>
      <c r="H84" s="975"/>
      <c r="I84" s="112">
        <v>10</v>
      </c>
      <c r="J84" s="112">
        <v>9.9999999999999995E-7</v>
      </c>
      <c r="K84" s="112">
        <v>9.9999999999999995E-7</v>
      </c>
      <c r="L84" s="480"/>
      <c r="M84" s="548">
        <f>0.5*(MAX(J84:L84)-MIN(J84:L84))</f>
        <v>0</v>
      </c>
      <c r="N84" s="112">
        <f>(1.7/100)*I84</f>
        <v>0.17</v>
      </c>
      <c r="O84" s="975"/>
      <c r="P84" s="112">
        <v>10</v>
      </c>
      <c r="Q84" s="112">
        <v>0</v>
      </c>
      <c r="R84" s="112">
        <v>9.9999999999999995E-7</v>
      </c>
      <c r="S84" s="480"/>
      <c r="T84" s="548">
        <f>0.5*(MAX(Q84:S84)-MIN(Q84:S84))</f>
        <v>4.9999999999999998E-7</v>
      </c>
      <c r="U84" s="112">
        <v>0</v>
      </c>
    </row>
    <row r="85" spans="1:21" x14ac:dyDescent="0.25">
      <c r="A85" s="973"/>
      <c r="B85" s="112">
        <v>20</v>
      </c>
      <c r="C85" s="112">
        <v>0.1</v>
      </c>
      <c r="D85" s="112">
        <v>9.9999999999999995E-7</v>
      </c>
      <c r="E85" s="112">
        <v>0.1</v>
      </c>
      <c r="F85" s="548">
        <f>0.5*(MAX(C85:E85)-MIN(C85:E85))</f>
        <v>4.9999500000000002E-2</v>
      </c>
      <c r="G85" s="112">
        <f>(1.7/100)*B85</f>
        <v>0.34</v>
      </c>
      <c r="H85" s="975"/>
      <c r="I85" s="112">
        <v>20</v>
      </c>
      <c r="J85" s="112">
        <v>9.9999999999999995E-7</v>
      </c>
      <c r="K85" s="112">
        <v>9.9999999999999995E-7</v>
      </c>
      <c r="L85" s="480"/>
      <c r="M85" s="548">
        <f>0.5*(MAX(J85:L85)-MIN(J85:L85))</f>
        <v>0</v>
      </c>
      <c r="N85" s="112">
        <f>(1.7/100)*I85</f>
        <v>0.34</v>
      </c>
      <c r="O85" s="975"/>
      <c r="P85" s="112">
        <v>20</v>
      </c>
      <c r="Q85" s="112">
        <v>0</v>
      </c>
      <c r="R85" s="112">
        <v>9.9999999999999995E-7</v>
      </c>
      <c r="S85" s="480"/>
      <c r="T85" s="548">
        <f>0.5*(MAX(Q85:S85)-MIN(Q85:S85))</f>
        <v>4.9999999999999998E-7</v>
      </c>
      <c r="U85" s="112">
        <v>0</v>
      </c>
    </row>
    <row r="86" spans="1:21" x14ac:dyDescent="0.25">
      <c r="A86" s="973"/>
      <c r="B86" s="112">
        <v>50</v>
      </c>
      <c r="C86" s="112">
        <v>0.5</v>
      </c>
      <c r="D86" s="112">
        <v>9.9999999999999995E-7</v>
      </c>
      <c r="E86" s="112">
        <v>0.4</v>
      </c>
      <c r="F86" s="548">
        <f>0.5*(MAX(C86:E86)-MIN(C86:E86))</f>
        <v>0.24999950000000001</v>
      </c>
      <c r="G86" s="112">
        <f>(1.7/100)*B86</f>
        <v>0.85000000000000009</v>
      </c>
      <c r="H86" s="975"/>
      <c r="I86" s="112">
        <v>50</v>
      </c>
      <c r="J86" s="112">
        <v>0.2</v>
      </c>
      <c r="K86" s="112">
        <v>9.9999999999999995E-7</v>
      </c>
      <c r="L86" s="480"/>
      <c r="M86" s="548">
        <f>0.5*(MAX(J86:L86)-MIN(J86:L86))</f>
        <v>9.9999500000000005E-2</v>
      </c>
      <c r="N86" s="112">
        <f>(1.7/100)*I86</f>
        <v>0.85000000000000009</v>
      </c>
      <c r="O86" s="975"/>
      <c r="P86" s="112">
        <v>50</v>
      </c>
      <c r="Q86" s="112">
        <v>0.2</v>
      </c>
      <c r="R86" s="112">
        <v>9.9999999999999995E-7</v>
      </c>
      <c r="S86" s="480"/>
      <c r="T86" s="548">
        <f>0.5*(MAX(Q86:S86)-MIN(Q86:S86))</f>
        <v>9.9999500000000005E-2</v>
      </c>
      <c r="U86" s="112">
        <v>0</v>
      </c>
    </row>
    <row r="87" spans="1:21" x14ac:dyDescent="0.25">
      <c r="A87" s="973"/>
      <c r="B87" s="112">
        <v>100</v>
      </c>
      <c r="C87" s="112">
        <v>0.9</v>
      </c>
      <c r="D87" s="112">
        <v>9.9999999999999995E-7</v>
      </c>
      <c r="E87" s="112">
        <v>1.4</v>
      </c>
      <c r="F87" s="548">
        <f>0.5*(MAX(C87:E87)-MIN(C87:E87))</f>
        <v>0.6999995</v>
      </c>
      <c r="G87" s="112">
        <f>(1.7/100)*B87</f>
        <v>1.7000000000000002</v>
      </c>
      <c r="H87" s="975"/>
      <c r="I87" s="112">
        <v>100</v>
      </c>
      <c r="J87" s="112">
        <v>0.4</v>
      </c>
      <c r="K87" s="112">
        <v>9.9999999999999995E-7</v>
      </c>
      <c r="L87" s="480"/>
      <c r="M87" s="548">
        <f>0.5*(MAX(J87:L87)-MIN(J87:L87))</f>
        <v>0.19999950000000002</v>
      </c>
      <c r="N87" s="112">
        <f>(1.7/100)*I87</f>
        <v>1.7000000000000002</v>
      </c>
      <c r="O87" s="975"/>
      <c r="P87" s="112">
        <v>100</v>
      </c>
      <c r="Q87" s="112">
        <v>0.6</v>
      </c>
      <c r="R87" s="112">
        <v>9.9999999999999995E-7</v>
      </c>
      <c r="S87" s="480"/>
      <c r="T87" s="548">
        <f>0.5*(MAX(Q87:S87)-MIN(Q87:S87))</f>
        <v>0.29999949999999997</v>
      </c>
      <c r="U87" s="112">
        <v>0</v>
      </c>
    </row>
    <row r="88" spans="1:21" ht="12.75" customHeight="1" x14ac:dyDescent="0.25">
      <c r="A88" s="973"/>
      <c r="B88" s="979" t="s">
        <v>228</v>
      </c>
      <c r="C88" s="979"/>
      <c r="D88" s="979"/>
      <c r="E88" s="979"/>
      <c r="F88" s="978" t="s">
        <v>221</v>
      </c>
      <c r="G88" s="978" t="s">
        <v>222</v>
      </c>
      <c r="H88" s="975"/>
      <c r="I88" s="979" t="s">
        <v>228</v>
      </c>
      <c r="J88" s="979"/>
      <c r="K88" s="979"/>
      <c r="L88" s="979"/>
      <c r="M88" s="978" t="s">
        <v>221</v>
      </c>
      <c r="N88" s="985" t="s">
        <v>222</v>
      </c>
      <c r="O88" s="975"/>
      <c r="P88" s="979" t="str">
        <f>B88</f>
        <v>Resistance</v>
      </c>
      <c r="Q88" s="979"/>
      <c r="R88" s="979"/>
      <c r="S88" s="979"/>
      <c r="T88" s="978" t="s">
        <v>221</v>
      </c>
      <c r="U88" s="978" t="s">
        <v>222</v>
      </c>
    </row>
    <row r="89" spans="1:21" ht="14.5" x14ac:dyDescent="0.25">
      <c r="A89" s="973"/>
      <c r="B89" s="544" t="s">
        <v>229</v>
      </c>
      <c r="C89" s="545">
        <f>C67</f>
        <v>2022</v>
      </c>
      <c r="D89" s="545">
        <f>D67</f>
        <v>2020</v>
      </c>
      <c r="E89" s="545">
        <f>E67</f>
        <v>2018</v>
      </c>
      <c r="F89" s="978"/>
      <c r="G89" s="978"/>
      <c r="H89" s="975"/>
      <c r="I89" s="544" t="s">
        <v>229</v>
      </c>
      <c r="J89" s="545">
        <f>J67</f>
        <v>2022</v>
      </c>
      <c r="K89" s="545">
        <f>K67</f>
        <v>2020</v>
      </c>
      <c r="L89" s="545">
        <f>L67</f>
        <v>2016</v>
      </c>
      <c r="M89" s="978"/>
      <c r="N89" s="986"/>
      <c r="O89" s="975"/>
      <c r="P89" s="544" t="s">
        <v>229</v>
      </c>
      <c r="Q89" s="545">
        <f>Q67</f>
        <v>2022</v>
      </c>
      <c r="R89" s="545">
        <f>R67</f>
        <v>2020</v>
      </c>
      <c r="S89" s="545">
        <f>S67</f>
        <v>2016</v>
      </c>
      <c r="T89" s="978"/>
      <c r="U89" s="978"/>
    </row>
    <row r="90" spans="1:21" x14ac:dyDescent="0.25">
      <c r="A90" s="973"/>
      <c r="B90" s="112">
        <v>0.01</v>
      </c>
      <c r="C90" s="112">
        <v>0</v>
      </c>
      <c r="D90" s="112">
        <v>9.9999999999999995E-7</v>
      </c>
      <c r="E90" s="112">
        <v>9.9999999999999995E-7</v>
      </c>
      <c r="F90" s="548">
        <f>0.5*(MAX(C90:E90)-MIN(C90:E90))</f>
        <v>4.9999999999999998E-7</v>
      </c>
      <c r="G90" s="112">
        <v>0.01</v>
      </c>
      <c r="H90" s="975"/>
      <c r="I90" s="112">
        <v>0.1</v>
      </c>
      <c r="J90" s="116">
        <v>-1E-3</v>
      </c>
      <c r="K90" s="116">
        <v>-1E-3</v>
      </c>
      <c r="L90" s="480"/>
      <c r="M90" s="561">
        <f>0.5*(MAX(J90:L90)-MIN(J90:L90))</f>
        <v>0</v>
      </c>
      <c r="N90" s="112">
        <f>(1.2/100)*I90</f>
        <v>1.2000000000000001E-3</v>
      </c>
      <c r="O90" s="975"/>
      <c r="P90" s="112">
        <v>1E-3</v>
      </c>
      <c r="Q90" s="126">
        <v>0</v>
      </c>
      <c r="R90" s="126">
        <v>-1E-3</v>
      </c>
      <c r="S90" s="480"/>
      <c r="T90" s="548">
        <f>0.5*(MAX(Q90:S90)-MIN(Q90:S90))</f>
        <v>5.0000000000000001E-4</v>
      </c>
      <c r="U90" s="112">
        <f>(1.2/100)*P90</f>
        <v>1.2E-5</v>
      </c>
    </row>
    <row r="91" spans="1:21" x14ac:dyDescent="0.25">
      <c r="A91" s="973"/>
      <c r="B91" s="112">
        <v>0.5</v>
      </c>
      <c r="C91" s="112">
        <v>3.0000000000000001E-3</v>
      </c>
      <c r="D91" s="112">
        <v>9.9999999999999995E-7</v>
      </c>
      <c r="E91" s="112">
        <v>1E-3</v>
      </c>
      <c r="F91" s="548">
        <f>0.5*(MAX(C91:E91)-MIN(C91:E91))</f>
        <v>1.4995E-3</v>
      </c>
      <c r="G91" s="112">
        <f>(1.2/100)*B91</f>
        <v>6.0000000000000001E-3</v>
      </c>
      <c r="H91" s="975"/>
      <c r="I91" s="112">
        <v>0.5</v>
      </c>
      <c r="J91" s="562">
        <v>4.0000000000000001E-3</v>
      </c>
      <c r="K91" s="562">
        <v>-3.0000000000000001E-3</v>
      </c>
      <c r="L91" s="480"/>
      <c r="M91" s="561">
        <f>0.5*(MAX(J91:L91)-MIN(J91:L91))</f>
        <v>3.5000000000000001E-3</v>
      </c>
      <c r="N91" s="112">
        <f>(1.2/100)*I91</f>
        <v>6.0000000000000001E-3</v>
      </c>
      <c r="O91" s="975"/>
      <c r="P91" s="112">
        <v>0.10199999999999999</v>
      </c>
      <c r="Q91" s="112">
        <v>1E-3</v>
      </c>
      <c r="R91" s="112">
        <v>-2E-3</v>
      </c>
      <c r="S91" s="480"/>
      <c r="T91" s="548">
        <f>0.5*(MAX(Q91:S91)-MIN(Q91:S91))</f>
        <v>1.5E-3</v>
      </c>
      <c r="U91" s="112">
        <f>(1.2/100)*P91</f>
        <v>1.224E-3</v>
      </c>
    </row>
    <row r="92" spans="1:21" x14ac:dyDescent="0.25">
      <c r="A92" s="973"/>
      <c r="B92" s="112">
        <v>1</v>
      </c>
      <c r="C92" s="112">
        <v>2E-3</v>
      </c>
      <c r="D92" s="112">
        <v>-2E-3</v>
      </c>
      <c r="E92" s="112">
        <v>1E-3</v>
      </c>
      <c r="F92" s="548">
        <f>0.5*(MAX(C92:E92)-MIN(C92:E92))</f>
        <v>2E-3</v>
      </c>
      <c r="G92" s="112">
        <f>(1.2/100)*B92</f>
        <v>1.2E-2</v>
      </c>
      <c r="H92" s="975"/>
      <c r="I92" s="112">
        <v>1</v>
      </c>
      <c r="J92" s="562">
        <v>5.0000000000000001E-3</v>
      </c>
      <c r="K92" s="562">
        <v>1E-3</v>
      </c>
      <c r="L92" s="480"/>
      <c r="M92" s="561">
        <f>0.5*(MAX(J92:L92)-MIN(J92:L92))</f>
        <v>2E-3</v>
      </c>
      <c r="N92" s="112">
        <f>(1.2/100)*I92</f>
        <v>1.2E-2</v>
      </c>
      <c r="O92" s="975"/>
      <c r="P92" s="112">
        <v>0.5</v>
      </c>
      <c r="Q92" s="112">
        <v>4.0000000000000001E-3</v>
      </c>
      <c r="R92" s="112">
        <v>9.9999999999999995E-7</v>
      </c>
      <c r="S92" s="480"/>
      <c r="T92" s="548">
        <f>0.5*(MAX(Q92:S92)-MIN(Q92:S92))</f>
        <v>1.9995E-3</v>
      </c>
      <c r="U92" s="112">
        <f>(1.2/100)*P92</f>
        <v>6.0000000000000001E-3</v>
      </c>
    </row>
    <row r="93" spans="1:21" x14ac:dyDescent="0.25">
      <c r="A93" s="973"/>
      <c r="B93" s="112">
        <v>2</v>
      </c>
      <c r="C93" s="112">
        <v>-1E-3</v>
      </c>
      <c r="D93" s="112">
        <v>9.9999999999999995E-7</v>
      </c>
      <c r="E93" s="112">
        <v>9.9999999999999995E-7</v>
      </c>
      <c r="F93" s="548">
        <f>0.5*(MAX(C93:E93)-MIN(C93:E93))</f>
        <v>5.0049999999999997E-4</v>
      </c>
      <c r="G93" s="112">
        <f>(1.2/100)*B93</f>
        <v>2.4E-2</v>
      </c>
      <c r="H93" s="975"/>
      <c r="I93" s="112">
        <v>2</v>
      </c>
      <c r="J93" s="562">
        <v>5.0000000000000001E-3</v>
      </c>
      <c r="K93" s="562">
        <v>-1E-3</v>
      </c>
      <c r="L93" s="480"/>
      <c r="M93" s="561">
        <f>0.5*(MAX(J93:L93)-MIN(J93:L93))</f>
        <v>3.0000000000000001E-3</v>
      </c>
      <c r="N93" s="112">
        <f>(1.2/100)*I93</f>
        <v>2.4E-2</v>
      </c>
      <c r="O93" s="975"/>
      <c r="P93" s="430">
        <v>1</v>
      </c>
      <c r="Q93" s="430">
        <v>0</v>
      </c>
      <c r="R93" s="430">
        <v>-1E-3</v>
      </c>
      <c r="S93" s="480"/>
      <c r="T93" s="555">
        <f>0.5*(MAX(Q93:S93)-MIN(Q93:S93))</f>
        <v>5.0000000000000001E-4</v>
      </c>
      <c r="U93" s="112">
        <f>(1.2/100)*P93</f>
        <v>1.2E-2</v>
      </c>
    </row>
    <row r="94" spans="1:21" ht="15.5" x14ac:dyDescent="0.25">
      <c r="A94" s="563"/>
      <c r="B94" s="453"/>
      <c r="C94" s="453"/>
      <c r="D94" s="557"/>
      <c r="E94" s="474"/>
      <c r="F94" s="564"/>
      <c r="H94" s="558"/>
      <c r="I94" s="453"/>
      <c r="J94" s="453"/>
      <c r="K94" s="557"/>
      <c r="L94" s="557"/>
      <c r="M94" s="557"/>
      <c r="O94" s="558"/>
      <c r="P94" s="453"/>
      <c r="Q94" s="453"/>
      <c r="R94" s="557"/>
      <c r="S94" s="557"/>
      <c r="T94" s="557"/>
    </row>
    <row r="95" spans="1:21" ht="14.5" x14ac:dyDescent="0.25">
      <c r="A95" s="973" t="s">
        <v>240</v>
      </c>
      <c r="B95" s="987">
        <v>10</v>
      </c>
      <c r="C95" s="987"/>
      <c r="D95" s="987"/>
      <c r="E95" s="987"/>
      <c r="F95" s="987"/>
      <c r="G95" s="987"/>
      <c r="H95" s="975" t="s">
        <v>241</v>
      </c>
      <c r="I95" s="974">
        <v>11</v>
      </c>
      <c r="J95" s="974"/>
      <c r="K95" s="974"/>
      <c r="L95" s="974"/>
      <c r="M95" s="974"/>
      <c r="N95" s="974"/>
      <c r="O95" s="975" t="s">
        <v>242</v>
      </c>
      <c r="P95" s="974">
        <v>12</v>
      </c>
      <c r="Q95" s="974"/>
      <c r="R95" s="974"/>
      <c r="S95" s="974"/>
      <c r="T95" s="974"/>
      <c r="U95" s="974"/>
    </row>
    <row r="96" spans="1:21" ht="14" x14ac:dyDescent="0.3">
      <c r="A96" s="973"/>
      <c r="B96" s="976" t="s">
        <v>219</v>
      </c>
      <c r="C96" s="976"/>
      <c r="D96" s="976"/>
      <c r="E96" s="976"/>
      <c r="F96" s="976"/>
      <c r="G96" s="976"/>
      <c r="H96" s="975"/>
      <c r="I96" s="977" t="s">
        <v>219</v>
      </c>
      <c r="J96" s="977"/>
      <c r="K96" s="977"/>
      <c r="L96" s="977"/>
      <c r="M96" s="977"/>
      <c r="N96" s="977"/>
      <c r="O96" s="975"/>
      <c r="P96" s="977" t="s">
        <v>219</v>
      </c>
      <c r="Q96" s="977"/>
      <c r="R96" s="977"/>
      <c r="S96" s="977"/>
      <c r="T96" s="977"/>
      <c r="U96" s="977"/>
    </row>
    <row r="97" spans="1:21" ht="13" x14ac:dyDescent="0.25">
      <c r="A97" s="973"/>
      <c r="B97" s="978" t="s">
        <v>220</v>
      </c>
      <c r="C97" s="978"/>
      <c r="D97" s="978"/>
      <c r="E97" s="978"/>
      <c r="F97" s="978" t="s">
        <v>221</v>
      </c>
      <c r="G97" s="978" t="s">
        <v>222</v>
      </c>
      <c r="H97" s="975"/>
      <c r="I97" s="978" t="str">
        <f>B97</f>
        <v>Setting VAC</v>
      </c>
      <c r="J97" s="978"/>
      <c r="K97" s="978"/>
      <c r="L97" s="978"/>
      <c r="M97" s="978" t="s">
        <v>221</v>
      </c>
      <c r="N97" s="978" t="s">
        <v>222</v>
      </c>
      <c r="O97" s="975"/>
      <c r="P97" s="978" t="str">
        <f>B97</f>
        <v>Setting VAC</v>
      </c>
      <c r="Q97" s="978"/>
      <c r="R97" s="978"/>
      <c r="S97" s="978"/>
      <c r="T97" s="978" t="s">
        <v>221</v>
      </c>
      <c r="U97" s="978" t="s">
        <v>222</v>
      </c>
    </row>
    <row r="98" spans="1:21" ht="14" x14ac:dyDescent="0.25">
      <c r="A98" s="973"/>
      <c r="B98" s="544" t="s">
        <v>223</v>
      </c>
      <c r="C98" s="546">
        <v>2021</v>
      </c>
      <c r="D98" s="546" t="s">
        <v>243</v>
      </c>
      <c r="E98" s="545">
        <v>2016</v>
      </c>
      <c r="F98" s="978"/>
      <c r="G98" s="978"/>
      <c r="H98" s="975"/>
      <c r="I98" s="544" t="s">
        <v>223</v>
      </c>
      <c r="J98" s="546" t="s">
        <v>243</v>
      </c>
      <c r="K98" s="546" t="s">
        <v>243</v>
      </c>
      <c r="L98" s="545">
        <v>2016</v>
      </c>
      <c r="M98" s="978"/>
      <c r="N98" s="978"/>
      <c r="O98" s="975"/>
      <c r="P98" s="544" t="s">
        <v>223</v>
      </c>
      <c r="Q98" s="546" t="s">
        <v>243</v>
      </c>
      <c r="R98" s="546" t="s">
        <v>243</v>
      </c>
      <c r="S98" s="545">
        <v>2016</v>
      </c>
      <c r="T98" s="978"/>
      <c r="U98" s="978"/>
    </row>
    <row r="99" spans="1:21" ht="13" x14ac:dyDescent="0.25">
      <c r="A99" s="973"/>
      <c r="B99" s="547">
        <v>150</v>
      </c>
      <c r="C99" s="112">
        <v>-0.05</v>
      </c>
      <c r="D99" s="565" t="s">
        <v>243</v>
      </c>
      <c r="E99" s="480"/>
      <c r="F99" s="548">
        <f t="shared" ref="F99:F104" si="25">0.5*(MAX(C99:E99)-MIN(C99:E99))</f>
        <v>0</v>
      </c>
      <c r="G99" s="565" t="s">
        <v>243</v>
      </c>
      <c r="H99" s="975"/>
      <c r="I99" s="547">
        <v>150</v>
      </c>
      <c r="J99" s="126">
        <v>9.9999999999999995E-7</v>
      </c>
      <c r="K99" s="565" t="s">
        <v>243</v>
      </c>
      <c r="L99" s="480"/>
      <c r="M99" s="548">
        <f t="shared" ref="M99:M104" si="26">0.5*(MAX(J99:L99)-MIN(J99:L99))</f>
        <v>0</v>
      </c>
      <c r="N99" s="565" t="s">
        <v>243</v>
      </c>
      <c r="O99" s="975"/>
      <c r="P99" s="547">
        <v>150</v>
      </c>
      <c r="Q99" s="126">
        <v>9.9999999999999995E-7</v>
      </c>
      <c r="R99" s="565" t="s">
        <v>243</v>
      </c>
      <c r="S99" s="480"/>
      <c r="T99" s="548">
        <f t="shared" ref="T99:T104" si="27">0.5*(MAX(Q99:S99)-MIN(Q99:S99))</f>
        <v>0</v>
      </c>
      <c r="U99" s="565" t="s">
        <v>243</v>
      </c>
    </row>
    <row r="100" spans="1:21" ht="13" x14ac:dyDescent="0.25">
      <c r="A100" s="973"/>
      <c r="B100" s="547">
        <v>180</v>
      </c>
      <c r="C100" s="112">
        <v>-0.04</v>
      </c>
      <c r="D100" s="549" t="s">
        <v>243</v>
      </c>
      <c r="E100" s="480"/>
      <c r="F100" s="548">
        <f t="shared" si="25"/>
        <v>0</v>
      </c>
      <c r="G100" s="565" t="s">
        <v>243</v>
      </c>
      <c r="H100" s="975"/>
      <c r="I100" s="547">
        <v>180</v>
      </c>
      <c r="J100" s="126">
        <v>9.9999999999999995E-7</v>
      </c>
      <c r="K100" s="549" t="s">
        <v>243</v>
      </c>
      <c r="L100" s="480"/>
      <c r="M100" s="548">
        <f t="shared" si="26"/>
        <v>0</v>
      </c>
      <c r="N100" s="549" t="s">
        <v>243</v>
      </c>
      <c r="O100" s="975"/>
      <c r="P100" s="547">
        <v>180</v>
      </c>
      <c r="Q100" s="126">
        <v>9.9999999999999995E-7</v>
      </c>
      <c r="R100" s="549" t="s">
        <v>243</v>
      </c>
      <c r="S100" s="480"/>
      <c r="T100" s="548">
        <f t="shared" si="27"/>
        <v>0</v>
      </c>
      <c r="U100" s="549" t="s">
        <v>243</v>
      </c>
    </row>
    <row r="101" spans="1:21" ht="13" x14ac:dyDescent="0.25">
      <c r="A101" s="973"/>
      <c r="B101" s="112">
        <v>200</v>
      </c>
      <c r="C101" s="112">
        <v>-0.67</v>
      </c>
      <c r="D101" s="549" t="s">
        <v>243</v>
      </c>
      <c r="E101" s="480"/>
      <c r="F101" s="548">
        <f t="shared" si="25"/>
        <v>0</v>
      </c>
      <c r="G101" s="565" t="s">
        <v>243</v>
      </c>
      <c r="H101" s="975"/>
      <c r="I101" s="112">
        <v>200</v>
      </c>
      <c r="J101" s="112">
        <v>9.9999999999999995E-7</v>
      </c>
      <c r="K101" s="549" t="s">
        <v>243</v>
      </c>
      <c r="L101" s="480"/>
      <c r="M101" s="548">
        <f t="shared" si="26"/>
        <v>0</v>
      </c>
      <c r="N101" s="549" t="s">
        <v>243</v>
      </c>
      <c r="O101" s="975"/>
      <c r="P101" s="112">
        <v>200</v>
      </c>
      <c r="Q101" s="126">
        <v>9.9999999999999995E-7</v>
      </c>
      <c r="R101" s="549" t="s">
        <v>243</v>
      </c>
      <c r="S101" s="480"/>
      <c r="T101" s="548">
        <f t="shared" si="27"/>
        <v>0</v>
      </c>
      <c r="U101" s="549" t="s">
        <v>243</v>
      </c>
    </row>
    <row r="102" spans="1:21" ht="13" x14ac:dyDescent="0.25">
      <c r="A102" s="973"/>
      <c r="B102" s="112">
        <v>220</v>
      </c>
      <c r="C102" s="112">
        <v>9.9999999999999995E-7</v>
      </c>
      <c r="D102" s="549" t="s">
        <v>243</v>
      </c>
      <c r="E102" s="480"/>
      <c r="F102" s="548">
        <f t="shared" si="25"/>
        <v>0</v>
      </c>
      <c r="G102" s="565" t="s">
        <v>243</v>
      </c>
      <c r="H102" s="975"/>
      <c r="I102" s="112">
        <v>220</v>
      </c>
      <c r="J102" s="112">
        <v>9.9999999999999995E-7</v>
      </c>
      <c r="K102" s="549" t="s">
        <v>243</v>
      </c>
      <c r="L102" s="480"/>
      <c r="M102" s="548">
        <f t="shared" si="26"/>
        <v>0</v>
      </c>
      <c r="N102" s="549" t="s">
        <v>243</v>
      </c>
      <c r="O102" s="975"/>
      <c r="P102" s="112">
        <v>220</v>
      </c>
      <c r="Q102" s="126">
        <v>9.9999999999999995E-7</v>
      </c>
      <c r="R102" s="549" t="s">
        <v>243</v>
      </c>
      <c r="S102" s="480"/>
      <c r="T102" s="548">
        <f t="shared" si="27"/>
        <v>0</v>
      </c>
      <c r="U102" s="549" t="s">
        <v>243</v>
      </c>
    </row>
    <row r="103" spans="1:21" ht="13" x14ac:dyDescent="0.25">
      <c r="A103" s="973"/>
      <c r="B103" s="112">
        <v>230</v>
      </c>
      <c r="C103" s="112">
        <v>-0.11</v>
      </c>
      <c r="D103" s="549" t="s">
        <v>243</v>
      </c>
      <c r="E103" s="480"/>
      <c r="F103" s="548">
        <f t="shared" si="25"/>
        <v>0</v>
      </c>
      <c r="G103" s="565" t="s">
        <v>243</v>
      </c>
      <c r="H103" s="975"/>
      <c r="I103" s="112">
        <v>230</v>
      </c>
      <c r="J103" s="112">
        <v>9.9999999999999995E-7</v>
      </c>
      <c r="K103" s="549" t="s">
        <v>243</v>
      </c>
      <c r="L103" s="480"/>
      <c r="M103" s="548">
        <f t="shared" si="26"/>
        <v>0</v>
      </c>
      <c r="N103" s="549" t="s">
        <v>243</v>
      </c>
      <c r="O103" s="975"/>
      <c r="P103" s="112">
        <v>230</v>
      </c>
      <c r="Q103" s="126">
        <v>9.9999999999999995E-7</v>
      </c>
      <c r="R103" s="549" t="s">
        <v>243</v>
      </c>
      <c r="S103" s="480"/>
      <c r="T103" s="548">
        <f t="shared" si="27"/>
        <v>0</v>
      </c>
      <c r="U103" s="549" t="s">
        <v>243</v>
      </c>
    </row>
    <row r="104" spans="1:21" ht="13" x14ac:dyDescent="0.25">
      <c r="A104" s="973"/>
      <c r="B104" s="112">
        <v>250</v>
      </c>
      <c r="C104" s="112">
        <v>-0.11</v>
      </c>
      <c r="D104" s="549" t="s">
        <v>243</v>
      </c>
      <c r="E104" s="480"/>
      <c r="F104" s="548">
        <f t="shared" si="25"/>
        <v>0</v>
      </c>
      <c r="G104" s="565" t="s">
        <v>243</v>
      </c>
      <c r="H104" s="975"/>
      <c r="I104" s="112">
        <v>250</v>
      </c>
      <c r="J104" s="112">
        <v>9.9999999999999995E-7</v>
      </c>
      <c r="K104" s="549" t="s">
        <v>243</v>
      </c>
      <c r="L104" s="480"/>
      <c r="M104" s="548">
        <f t="shared" si="26"/>
        <v>0</v>
      </c>
      <c r="N104" s="549" t="s">
        <v>243</v>
      </c>
      <c r="O104" s="975"/>
      <c r="P104" s="112">
        <v>250</v>
      </c>
      <c r="Q104" s="126">
        <v>9.9999999999999995E-7</v>
      </c>
      <c r="R104" s="549" t="s">
        <v>243</v>
      </c>
      <c r="S104" s="480"/>
      <c r="T104" s="548">
        <f t="shared" si="27"/>
        <v>0</v>
      </c>
      <c r="U104" s="549" t="s">
        <v>243</v>
      </c>
    </row>
    <row r="105" spans="1:21" ht="13" customHeight="1" x14ac:dyDescent="0.25">
      <c r="A105" s="973"/>
      <c r="B105" s="979" t="s">
        <v>224</v>
      </c>
      <c r="C105" s="979"/>
      <c r="D105" s="979"/>
      <c r="E105" s="979"/>
      <c r="F105" s="978" t="s">
        <v>221</v>
      </c>
      <c r="G105" s="978" t="s">
        <v>222</v>
      </c>
      <c r="H105" s="975"/>
      <c r="I105" s="979" t="str">
        <f>B105</f>
        <v>Current Leakage</v>
      </c>
      <c r="J105" s="979"/>
      <c r="K105" s="979"/>
      <c r="L105" s="979"/>
      <c r="M105" s="978" t="s">
        <v>221</v>
      </c>
      <c r="N105" s="978" t="s">
        <v>222</v>
      </c>
      <c r="O105" s="975"/>
      <c r="P105" s="979" t="str">
        <f>B105</f>
        <v>Current Leakage</v>
      </c>
      <c r="Q105" s="979"/>
      <c r="R105" s="979"/>
      <c r="S105" s="979"/>
      <c r="T105" s="978" t="s">
        <v>221</v>
      </c>
      <c r="U105" s="978" t="s">
        <v>222</v>
      </c>
    </row>
    <row r="106" spans="1:21" ht="14" x14ac:dyDescent="0.25">
      <c r="A106" s="973"/>
      <c r="B106" s="544" t="s">
        <v>225</v>
      </c>
      <c r="C106" s="545">
        <f>C98</f>
        <v>2021</v>
      </c>
      <c r="D106" s="545" t="str">
        <f>D98</f>
        <v>-</v>
      </c>
      <c r="E106" s="545">
        <f>E98</f>
        <v>2016</v>
      </c>
      <c r="F106" s="978"/>
      <c r="G106" s="978"/>
      <c r="H106" s="975"/>
      <c r="I106" s="544" t="s">
        <v>225</v>
      </c>
      <c r="J106" s="545" t="str">
        <f>J98</f>
        <v>-</v>
      </c>
      <c r="K106" s="545" t="str">
        <f>K98</f>
        <v>-</v>
      </c>
      <c r="L106" s="545">
        <f>L98</f>
        <v>2016</v>
      </c>
      <c r="M106" s="978"/>
      <c r="N106" s="978"/>
      <c r="O106" s="975"/>
      <c r="P106" s="544" t="s">
        <v>225</v>
      </c>
      <c r="Q106" s="545" t="str">
        <f>Q98</f>
        <v>-</v>
      </c>
      <c r="R106" s="545" t="str">
        <f>R98</f>
        <v>-</v>
      </c>
      <c r="S106" s="545">
        <f>S98</f>
        <v>2016</v>
      </c>
      <c r="T106" s="978"/>
      <c r="U106" s="978"/>
    </row>
    <row r="107" spans="1:21" ht="13" x14ac:dyDescent="0.25">
      <c r="A107" s="973"/>
      <c r="B107" s="112">
        <v>0</v>
      </c>
      <c r="C107" s="112">
        <v>9.9999999999999995E-7</v>
      </c>
      <c r="D107" s="565" t="s">
        <v>243</v>
      </c>
      <c r="E107" s="480"/>
      <c r="F107" s="548">
        <f t="shared" ref="F107:F112" si="28">0.5*(MAX(C107:E107)-MIN(C107:E107))</f>
        <v>0</v>
      </c>
      <c r="G107" s="565" t="s">
        <v>243</v>
      </c>
      <c r="H107" s="975"/>
      <c r="I107" s="112">
        <v>0</v>
      </c>
      <c r="J107" s="112">
        <v>9.9999999999999995E-7</v>
      </c>
      <c r="K107" s="565" t="s">
        <v>243</v>
      </c>
      <c r="L107" s="480"/>
      <c r="M107" s="548">
        <f t="shared" ref="M107:M112" si="29">0.5*(MAX(J107:L107)-MIN(J107:L107))</f>
        <v>0</v>
      </c>
      <c r="N107" s="565" t="s">
        <v>243</v>
      </c>
      <c r="O107" s="975"/>
      <c r="P107" s="112">
        <v>0</v>
      </c>
      <c r="Q107" s="112">
        <v>9.9999999999999995E-7</v>
      </c>
      <c r="R107" s="565" t="s">
        <v>243</v>
      </c>
      <c r="S107" s="480"/>
      <c r="T107" s="548">
        <f t="shared" ref="T107:T112" si="30">0.5*(MAX(Q107:S107)-MIN(Q107:S107))</f>
        <v>0</v>
      </c>
      <c r="U107" s="565" t="s">
        <v>243</v>
      </c>
    </row>
    <row r="108" spans="1:21" ht="13" x14ac:dyDescent="0.25">
      <c r="A108" s="973"/>
      <c r="B108" s="112">
        <v>50</v>
      </c>
      <c r="C108" s="112">
        <v>0.4</v>
      </c>
      <c r="D108" s="549" t="s">
        <v>243</v>
      </c>
      <c r="E108" s="480"/>
      <c r="F108" s="548">
        <f t="shared" si="28"/>
        <v>0</v>
      </c>
      <c r="G108" s="565" t="s">
        <v>243</v>
      </c>
      <c r="H108" s="975"/>
      <c r="I108" s="112">
        <v>50</v>
      </c>
      <c r="J108" s="112">
        <v>9.9999999999999995E-7</v>
      </c>
      <c r="K108" s="549" t="s">
        <v>243</v>
      </c>
      <c r="L108" s="480"/>
      <c r="M108" s="548">
        <f t="shared" si="29"/>
        <v>0</v>
      </c>
      <c r="N108" s="549" t="s">
        <v>243</v>
      </c>
      <c r="O108" s="975"/>
      <c r="P108" s="112">
        <v>50</v>
      </c>
      <c r="Q108" s="112">
        <v>9.9999999999999995E-7</v>
      </c>
      <c r="R108" s="549" t="s">
        <v>243</v>
      </c>
      <c r="S108" s="480"/>
      <c r="T108" s="548">
        <f t="shared" si="30"/>
        <v>0</v>
      </c>
      <c r="U108" s="549" t="s">
        <v>243</v>
      </c>
    </row>
    <row r="109" spans="1:21" ht="13" x14ac:dyDescent="0.25">
      <c r="A109" s="973"/>
      <c r="B109" s="112">
        <v>100</v>
      </c>
      <c r="C109" s="112">
        <v>0.4</v>
      </c>
      <c r="D109" s="549" t="s">
        <v>243</v>
      </c>
      <c r="E109" s="480"/>
      <c r="F109" s="548">
        <f t="shared" si="28"/>
        <v>0</v>
      </c>
      <c r="G109" s="565" t="s">
        <v>243</v>
      </c>
      <c r="H109" s="975"/>
      <c r="I109" s="112">
        <v>100</v>
      </c>
      <c r="J109" s="126">
        <v>9.9999999999999995E-7</v>
      </c>
      <c r="K109" s="549" t="s">
        <v>243</v>
      </c>
      <c r="L109" s="480"/>
      <c r="M109" s="548">
        <f t="shared" si="29"/>
        <v>0</v>
      </c>
      <c r="N109" s="549" t="s">
        <v>243</v>
      </c>
      <c r="O109" s="975"/>
      <c r="P109" s="112">
        <v>100</v>
      </c>
      <c r="Q109" s="112">
        <v>9.9999999999999995E-7</v>
      </c>
      <c r="R109" s="549" t="s">
        <v>243</v>
      </c>
      <c r="S109" s="480"/>
      <c r="T109" s="548">
        <f t="shared" si="30"/>
        <v>0</v>
      </c>
      <c r="U109" s="549" t="s">
        <v>243</v>
      </c>
    </row>
    <row r="110" spans="1:21" ht="13" x14ac:dyDescent="0.25">
      <c r="A110" s="973"/>
      <c r="B110" s="112">
        <v>200</v>
      </c>
      <c r="C110" s="112">
        <v>0.4</v>
      </c>
      <c r="D110" s="549" t="s">
        <v>243</v>
      </c>
      <c r="E110" s="480"/>
      <c r="F110" s="548">
        <f t="shared" si="28"/>
        <v>0</v>
      </c>
      <c r="G110" s="565" t="s">
        <v>243</v>
      </c>
      <c r="H110" s="975"/>
      <c r="I110" s="112">
        <v>200</v>
      </c>
      <c r="J110" s="112">
        <v>9.9999999999999995E-7</v>
      </c>
      <c r="K110" s="549" t="s">
        <v>243</v>
      </c>
      <c r="L110" s="480"/>
      <c r="M110" s="548">
        <f t="shared" si="29"/>
        <v>0</v>
      </c>
      <c r="N110" s="549" t="s">
        <v>243</v>
      </c>
      <c r="O110" s="975"/>
      <c r="P110" s="112">
        <v>200</v>
      </c>
      <c r="Q110" s="112">
        <v>9.9999999999999995E-7</v>
      </c>
      <c r="R110" s="549" t="s">
        <v>243</v>
      </c>
      <c r="S110" s="480"/>
      <c r="T110" s="548">
        <f t="shared" si="30"/>
        <v>0</v>
      </c>
      <c r="U110" s="549" t="s">
        <v>243</v>
      </c>
    </row>
    <row r="111" spans="1:21" ht="13" x14ac:dyDescent="0.25">
      <c r="A111" s="973"/>
      <c r="B111" s="112">
        <v>500</v>
      </c>
      <c r="C111" s="112">
        <v>1.5</v>
      </c>
      <c r="D111" s="549" t="s">
        <v>243</v>
      </c>
      <c r="E111" s="480"/>
      <c r="F111" s="548">
        <f t="shared" si="28"/>
        <v>0</v>
      </c>
      <c r="G111" s="565" t="s">
        <v>243</v>
      </c>
      <c r="H111" s="975"/>
      <c r="I111" s="112">
        <v>500</v>
      </c>
      <c r="J111" s="112">
        <v>9.9999999999999995E-7</v>
      </c>
      <c r="K111" s="549" t="s">
        <v>243</v>
      </c>
      <c r="L111" s="480"/>
      <c r="M111" s="548">
        <f t="shared" si="29"/>
        <v>0</v>
      </c>
      <c r="N111" s="549" t="s">
        <v>243</v>
      </c>
      <c r="O111" s="975"/>
      <c r="P111" s="112">
        <v>500</v>
      </c>
      <c r="Q111" s="112">
        <v>9.9999999999999995E-7</v>
      </c>
      <c r="R111" s="549" t="s">
        <v>243</v>
      </c>
      <c r="S111" s="480"/>
      <c r="T111" s="548">
        <f t="shared" si="30"/>
        <v>0</v>
      </c>
      <c r="U111" s="549" t="s">
        <v>243</v>
      </c>
    </row>
    <row r="112" spans="1:21" ht="13" x14ac:dyDescent="0.25">
      <c r="A112" s="973"/>
      <c r="B112" s="112">
        <v>1000</v>
      </c>
      <c r="C112" s="112">
        <v>2</v>
      </c>
      <c r="D112" s="549" t="s">
        <v>243</v>
      </c>
      <c r="E112" s="480"/>
      <c r="F112" s="548">
        <f t="shared" si="28"/>
        <v>0</v>
      </c>
      <c r="G112" s="565" t="s">
        <v>243</v>
      </c>
      <c r="H112" s="975"/>
      <c r="I112" s="112">
        <v>1000</v>
      </c>
      <c r="J112" s="112">
        <v>9.9999999999999995E-7</v>
      </c>
      <c r="K112" s="549" t="s">
        <v>243</v>
      </c>
      <c r="L112" s="480"/>
      <c r="M112" s="548">
        <f t="shared" si="29"/>
        <v>0</v>
      </c>
      <c r="N112" s="549" t="s">
        <v>243</v>
      </c>
      <c r="O112" s="975"/>
      <c r="P112" s="112">
        <v>1000</v>
      </c>
      <c r="Q112" s="112">
        <v>9.9999999999999995E-7</v>
      </c>
      <c r="R112" s="549" t="s">
        <v>243</v>
      </c>
      <c r="S112" s="480"/>
      <c r="T112" s="548">
        <f t="shared" si="30"/>
        <v>0</v>
      </c>
      <c r="U112" s="549" t="s">
        <v>243</v>
      </c>
    </row>
    <row r="113" spans="1:21" ht="13" x14ac:dyDescent="0.25">
      <c r="A113" s="973"/>
      <c r="B113" s="979" t="s">
        <v>226</v>
      </c>
      <c r="C113" s="979"/>
      <c r="D113" s="979"/>
      <c r="E113" s="979"/>
      <c r="F113" s="978" t="s">
        <v>221</v>
      </c>
      <c r="G113" s="978" t="s">
        <v>222</v>
      </c>
      <c r="H113" s="975"/>
      <c r="I113" s="979" t="s">
        <v>226</v>
      </c>
      <c r="J113" s="979"/>
      <c r="K113" s="979"/>
      <c r="L113" s="979"/>
      <c r="M113" s="978" t="s">
        <v>221</v>
      </c>
      <c r="N113" s="978" t="s">
        <v>222</v>
      </c>
      <c r="O113" s="975"/>
      <c r="P113" s="979" t="str">
        <f>B113</f>
        <v>Main-PE</v>
      </c>
      <c r="Q113" s="979"/>
      <c r="R113" s="979"/>
      <c r="S113" s="979"/>
      <c r="T113" s="978" t="s">
        <v>221</v>
      </c>
      <c r="U113" s="978" t="s">
        <v>222</v>
      </c>
    </row>
    <row r="114" spans="1:21" ht="14.5" x14ac:dyDescent="0.25">
      <c r="A114" s="973"/>
      <c r="B114" s="544" t="s">
        <v>227</v>
      </c>
      <c r="C114" s="545">
        <f>C98</f>
        <v>2021</v>
      </c>
      <c r="D114" s="545" t="str">
        <f>D98</f>
        <v>-</v>
      </c>
      <c r="E114" s="545">
        <f>E98</f>
        <v>2016</v>
      </c>
      <c r="F114" s="978"/>
      <c r="G114" s="978"/>
      <c r="H114" s="975"/>
      <c r="I114" s="544" t="s">
        <v>227</v>
      </c>
      <c r="J114" s="545" t="str">
        <f>J98</f>
        <v>-</v>
      </c>
      <c r="K114" s="545" t="str">
        <f>K98</f>
        <v>-</v>
      </c>
      <c r="L114" s="545">
        <f>L98</f>
        <v>2016</v>
      </c>
      <c r="M114" s="978"/>
      <c r="N114" s="978"/>
      <c r="O114" s="975"/>
      <c r="P114" s="544" t="s">
        <v>227</v>
      </c>
      <c r="Q114" s="545" t="str">
        <f>Q98</f>
        <v>-</v>
      </c>
      <c r="R114" s="545" t="str">
        <f>R98</f>
        <v>-</v>
      </c>
      <c r="S114" s="545">
        <f>S98</f>
        <v>2016</v>
      </c>
      <c r="T114" s="978"/>
      <c r="U114" s="978"/>
    </row>
    <row r="115" spans="1:21" x14ac:dyDescent="0.25">
      <c r="A115" s="973"/>
      <c r="B115" s="112">
        <v>10</v>
      </c>
      <c r="C115" s="112">
        <v>9.9999999999999995E-7</v>
      </c>
      <c r="D115" s="549" t="s">
        <v>243</v>
      </c>
      <c r="E115" s="480"/>
      <c r="F115" s="548">
        <f>0.5*(MAX(C115:E115)-MIN(C115:E115))</f>
        <v>0</v>
      </c>
      <c r="G115" s="386" t="s">
        <v>243</v>
      </c>
      <c r="H115" s="975"/>
      <c r="I115" s="112">
        <v>10</v>
      </c>
      <c r="J115" s="112">
        <v>9.9999999999999995E-7</v>
      </c>
      <c r="K115" s="549" t="s">
        <v>243</v>
      </c>
      <c r="L115" s="480"/>
      <c r="M115" s="548">
        <f>0.5*(MAX(J115:L115)-MIN(J115:L115))</f>
        <v>0</v>
      </c>
      <c r="N115" s="549" t="s">
        <v>243</v>
      </c>
      <c r="O115" s="975"/>
      <c r="P115" s="112">
        <v>10</v>
      </c>
      <c r="Q115" s="112">
        <v>9.9999999999999995E-7</v>
      </c>
      <c r="R115" s="549" t="s">
        <v>243</v>
      </c>
      <c r="S115" s="480"/>
      <c r="T115" s="548">
        <f>0.5*(MAX(Q115:S115)-MIN(Q115:S115))</f>
        <v>0</v>
      </c>
      <c r="U115" s="549" t="s">
        <v>243</v>
      </c>
    </row>
    <row r="116" spans="1:21" x14ac:dyDescent="0.25">
      <c r="A116" s="973"/>
      <c r="B116" s="112">
        <v>20</v>
      </c>
      <c r="C116" s="112">
        <v>0.1</v>
      </c>
      <c r="D116" s="549" t="s">
        <v>243</v>
      </c>
      <c r="E116" s="480"/>
      <c r="F116" s="548">
        <f>0.5*(MAX(C116:E116)-MIN(C116:E116))</f>
        <v>0</v>
      </c>
      <c r="G116" s="386" t="s">
        <v>243</v>
      </c>
      <c r="H116" s="975"/>
      <c r="I116" s="112">
        <v>20</v>
      </c>
      <c r="J116" s="112">
        <v>9.9999999999999995E-7</v>
      </c>
      <c r="K116" s="549" t="s">
        <v>243</v>
      </c>
      <c r="L116" s="480"/>
      <c r="M116" s="548">
        <f>0.5*(MAX(J116:L116)-MIN(J116:L116))</f>
        <v>0</v>
      </c>
      <c r="N116" s="549" t="s">
        <v>243</v>
      </c>
      <c r="O116" s="975"/>
      <c r="P116" s="112">
        <v>20</v>
      </c>
      <c r="Q116" s="112">
        <v>9.9999999999999995E-7</v>
      </c>
      <c r="R116" s="549" t="s">
        <v>243</v>
      </c>
      <c r="S116" s="480"/>
      <c r="T116" s="548">
        <f>0.5*(MAX(Q116:S116)-MIN(Q116:S116))</f>
        <v>0</v>
      </c>
      <c r="U116" s="549" t="s">
        <v>243</v>
      </c>
    </row>
    <row r="117" spans="1:21" x14ac:dyDescent="0.25">
      <c r="A117" s="973"/>
      <c r="B117" s="112">
        <v>50</v>
      </c>
      <c r="C117" s="112">
        <v>0.4</v>
      </c>
      <c r="D117" s="386" t="s">
        <v>243</v>
      </c>
      <c r="E117" s="480"/>
      <c r="F117" s="548">
        <f>0.5*(MAX(C117:E117)-MIN(C117:E117))</f>
        <v>0</v>
      </c>
      <c r="G117" s="386" t="s">
        <v>243</v>
      </c>
      <c r="H117" s="975"/>
      <c r="I117" s="112">
        <v>50</v>
      </c>
      <c r="J117" s="112">
        <v>9.9999999999999995E-7</v>
      </c>
      <c r="K117" s="386" t="s">
        <v>243</v>
      </c>
      <c r="L117" s="480"/>
      <c r="M117" s="548">
        <f>0.5*(MAX(J117:L117)-MIN(J117:L117))</f>
        <v>0</v>
      </c>
      <c r="N117" s="386" t="s">
        <v>243</v>
      </c>
      <c r="O117" s="975"/>
      <c r="P117" s="112">
        <v>50</v>
      </c>
      <c r="Q117" s="112">
        <v>9.9999999999999995E-7</v>
      </c>
      <c r="R117" s="386" t="s">
        <v>243</v>
      </c>
      <c r="S117" s="480"/>
      <c r="T117" s="548">
        <f>0.5*(MAX(Q117:S117)-MIN(Q117:S117))</f>
        <v>0</v>
      </c>
      <c r="U117" s="386" t="s">
        <v>243</v>
      </c>
    </row>
    <row r="118" spans="1:21" x14ac:dyDescent="0.25">
      <c r="A118" s="973"/>
      <c r="B118" s="112">
        <v>100</v>
      </c>
      <c r="C118" s="112">
        <v>1.4</v>
      </c>
      <c r="D118" s="386" t="s">
        <v>243</v>
      </c>
      <c r="E118" s="480"/>
      <c r="F118" s="548">
        <f>0.5*(MAX(C118:E118)-MIN(C118:E118))</f>
        <v>0</v>
      </c>
      <c r="G118" s="386" t="s">
        <v>243</v>
      </c>
      <c r="H118" s="975"/>
      <c r="I118" s="112">
        <v>100</v>
      </c>
      <c r="J118" s="112">
        <v>9.9999999999999995E-7</v>
      </c>
      <c r="K118" s="386" t="s">
        <v>243</v>
      </c>
      <c r="L118" s="480"/>
      <c r="M118" s="548">
        <f>0.5*(MAX(J118:L118)-MIN(J118:L118))</f>
        <v>0</v>
      </c>
      <c r="N118" s="386" t="s">
        <v>243</v>
      </c>
      <c r="O118" s="975"/>
      <c r="P118" s="112">
        <v>100</v>
      </c>
      <c r="Q118" s="112">
        <v>9.9999999999999995E-7</v>
      </c>
      <c r="R118" s="386" t="s">
        <v>243</v>
      </c>
      <c r="S118" s="480"/>
      <c r="T118" s="548">
        <f>0.5*(MAX(Q118:S118)-MIN(Q118:S118))</f>
        <v>0</v>
      </c>
      <c r="U118" s="386" t="s">
        <v>243</v>
      </c>
    </row>
    <row r="119" spans="1:21" ht="13" customHeight="1" x14ac:dyDescent="0.25">
      <c r="A119" s="973"/>
      <c r="B119" s="979" t="s">
        <v>228</v>
      </c>
      <c r="C119" s="979"/>
      <c r="D119" s="979"/>
      <c r="E119" s="979"/>
      <c r="F119" s="978" t="s">
        <v>221</v>
      </c>
      <c r="G119" s="978" t="s">
        <v>222</v>
      </c>
      <c r="H119" s="975"/>
      <c r="I119" s="979" t="s">
        <v>228</v>
      </c>
      <c r="J119" s="979"/>
      <c r="K119" s="979"/>
      <c r="L119" s="979"/>
      <c r="M119" s="978" t="s">
        <v>221</v>
      </c>
      <c r="N119" s="978" t="s">
        <v>222</v>
      </c>
      <c r="O119" s="975"/>
      <c r="P119" s="979" t="str">
        <f>B119</f>
        <v>Resistance</v>
      </c>
      <c r="Q119" s="979"/>
      <c r="R119" s="979"/>
      <c r="S119" s="979"/>
      <c r="T119" s="978" t="s">
        <v>221</v>
      </c>
      <c r="U119" s="978" t="s">
        <v>222</v>
      </c>
    </row>
    <row r="120" spans="1:21" ht="14.5" x14ac:dyDescent="0.25">
      <c r="A120" s="973"/>
      <c r="B120" s="544" t="s">
        <v>229</v>
      </c>
      <c r="C120" s="545">
        <f>C98</f>
        <v>2021</v>
      </c>
      <c r="D120" s="545" t="str">
        <f>D98</f>
        <v>-</v>
      </c>
      <c r="E120" s="545">
        <f>E98</f>
        <v>2016</v>
      </c>
      <c r="F120" s="978"/>
      <c r="G120" s="978"/>
      <c r="H120" s="975"/>
      <c r="I120" s="544" t="s">
        <v>229</v>
      </c>
      <c r="J120" s="545" t="str">
        <f>J98</f>
        <v>-</v>
      </c>
      <c r="K120" s="545" t="str">
        <f>K98</f>
        <v>-</v>
      </c>
      <c r="L120" s="545">
        <f>L98</f>
        <v>2016</v>
      </c>
      <c r="M120" s="978"/>
      <c r="N120" s="978"/>
      <c r="O120" s="975"/>
      <c r="P120" s="544" t="s">
        <v>229</v>
      </c>
      <c r="Q120" s="545" t="str">
        <f>Q98</f>
        <v>-</v>
      </c>
      <c r="R120" s="545" t="str">
        <f>R98</f>
        <v>-</v>
      </c>
      <c r="S120" s="545">
        <f>S98</f>
        <v>2016</v>
      </c>
      <c r="T120" s="978"/>
      <c r="U120" s="978"/>
    </row>
    <row r="121" spans="1:21" x14ac:dyDescent="0.25">
      <c r="A121" s="973"/>
      <c r="B121" s="112">
        <v>0</v>
      </c>
      <c r="C121" s="112">
        <v>9.9999999999999995E-7</v>
      </c>
      <c r="D121" s="386" t="s">
        <v>243</v>
      </c>
      <c r="E121" s="480"/>
      <c r="F121" s="548">
        <f>0.5*(MAX(C121:E121)-MIN(C121:E121))</f>
        <v>0</v>
      </c>
      <c r="G121" s="386" t="s">
        <v>243</v>
      </c>
      <c r="H121" s="975"/>
      <c r="I121" s="112">
        <v>0.01</v>
      </c>
      <c r="J121" s="126">
        <v>9.9999999999999995E-7</v>
      </c>
      <c r="K121" s="386" t="s">
        <v>243</v>
      </c>
      <c r="L121" s="480"/>
      <c r="M121" s="548">
        <f>0.5*(MAX(J121:L121)-MIN(J121:L121))</f>
        <v>0</v>
      </c>
      <c r="N121" s="386" t="s">
        <v>243</v>
      </c>
      <c r="O121" s="975"/>
      <c r="P121" s="112">
        <v>0.01</v>
      </c>
      <c r="Q121" s="126">
        <v>9.9999999999999995E-7</v>
      </c>
      <c r="R121" s="386" t="s">
        <v>243</v>
      </c>
      <c r="S121" s="480"/>
      <c r="T121" s="548">
        <f>0.5*(MAX(Q121:S121)-MIN(Q121:S121))</f>
        <v>0</v>
      </c>
      <c r="U121" s="386" t="s">
        <v>243</v>
      </c>
    </row>
    <row r="122" spans="1:21" x14ac:dyDescent="0.25">
      <c r="A122" s="973"/>
      <c r="B122" s="112">
        <v>0.1</v>
      </c>
      <c r="C122" s="112">
        <v>-2E-3</v>
      </c>
      <c r="D122" s="549" t="s">
        <v>243</v>
      </c>
      <c r="E122" s="480"/>
      <c r="F122" s="548">
        <f>0.5*(MAX(C122:E122)-MIN(C122:E122))</f>
        <v>0</v>
      </c>
      <c r="G122" s="386" t="s">
        <v>243</v>
      </c>
      <c r="H122" s="975"/>
      <c r="I122" s="112">
        <v>0.1</v>
      </c>
      <c r="J122" s="112">
        <v>9.9999999999999995E-7</v>
      </c>
      <c r="K122" s="549" t="s">
        <v>243</v>
      </c>
      <c r="L122" s="480"/>
      <c r="M122" s="548">
        <f>0.5*(MAX(J122:L122)-MIN(J122:L122))</f>
        <v>0</v>
      </c>
      <c r="N122" s="549" t="s">
        <v>243</v>
      </c>
      <c r="O122" s="975"/>
      <c r="P122" s="112">
        <v>0.1</v>
      </c>
      <c r="Q122" s="126">
        <v>9.9999999999999995E-7</v>
      </c>
      <c r="R122" s="549" t="s">
        <v>243</v>
      </c>
      <c r="S122" s="480"/>
      <c r="T122" s="548">
        <f>0.5*(MAX(Q122:S122)-MIN(Q122:S122))</f>
        <v>0</v>
      </c>
      <c r="U122" s="549" t="s">
        <v>243</v>
      </c>
    </row>
    <row r="123" spans="1:21" x14ac:dyDescent="0.25">
      <c r="A123" s="973"/>
      <c r="B123" s="112">
        <v>1</v>
      </c>
      <c r="C123" s="112">
        <v>-8.0000000000000002E-3</v>
      </c>
      <c r="D123" s="549" t="s">
        <v>243</v>
      </c>
      <c r="E123" s="480"/>
      <c r="F123" s="548">
        <f>0.5*(MAX(C123:E123)-MIN(C123:E123))</f>
        <v>0</v>
      </c>
      <c r="G123" s="386" t="s">
        <v>243</v>
      </c>
      <c r="H123" s="975"/>
      <c r="I123" s="112">
        <v>1</v>
      </c>
      <c r="J123" s="112">
        <v>9.9999999999999995E-7</v>
      </c>
      <c r="K123" s="549" t="s">
        <v>243</v>
      </c>
      <c r="L123" s="480"/>
      <c r="M123" s="548">
        <f>0.5*(MAX(J123:L123)-MIN(J123:L123))</f>
        <v>0</v>
      </c>
      <c r="N123" s="549" t="s">
        <v>243</v>
      </c>
      <c r="O123" s="975"/>
      <c r="P123" s="112">
        <v>1</v>
      </c>
      <c r="Q123" s="126">
        <v>9.9999999999999995E-7</v>
      </c>
      <c r="R123" s="549" t="s">
        <v>243</v>
      </c>
      <c r="S123" s="480"/>
      <c r="T123" s="548">
        <f>0.5*(MAX(Q123:S123)-MIN(Q123:S123))</f>
        <v>0</v>
      </c>
      <c r="U123" s="549" t="s">
        <v>243</v>
      </c>
    </row>
    <row r="124" spans="1:21" x14ac:dyDescent="0.25">
      <c r="A124" s="973"/>
      <c r="B124" s="112">
        <v>2</v>
      </c>
      <c r="C124" s="112">
        <v>-7.0000000000000001E-3</v>
      </c>
      <c r="D124" s="549" t="s">
        <v>243</v>
      </c>
      <c r="E124" s="480"/>
      <c r="F124" s="548">
        <f>0.5*(MAX(C124:E124)-MIN(C124:E124))</f>
        <v>0</v>
      </c>
      <c r="G124" s="386" t="s">
        <v>243</v>
      </c>
      <c r="H124" s="975"/>
      <c r="I124" s="112">
        <v>2</v>
      </c>
      <c r="J124" s="112">
        <v>9.9999999999999995E-7</v>
      </c>
      <c r="K124" s="549" t="s">
        <v>243</v>
      </c>
      <c r="L124" s="480"/>
      <c r="M124" s="548">
        <f>0.5*(MAX(J124:L124)-MIN(J124:L124))</f>
        <v>0</v>
      </c>
      <c r="N124" s="549" t="s">
        <v>243</v>
      </c>
      <c r="O124" s="975"/>
      <c r="P124" s="112">
        <v>2</v>
      </c>
      <c r="Q124" s="126">
        <v>9.9999999999999995E-7</v>
      </c>
      <c r="R124" s="549" t="s">
        <v>243</v>
      </c>
      <c r="S124" s="480"/>
      <c r="T124" s="548">
        <f>0.5*(MAX(Q124:S124)-MIN(Q124:S124))</f>
        <v>0</v>
      </c>
      <c r="U124" s="549" t="s">
        <v>243</v>
      </c>
    </row>
    <row r="125" spans="1:21" ht="15.5" x14ac:dyDescent="0.25">
      <c r="A125" s="990"/>
      <c r="B125" s="991"/>
      <c r="C125" s="991"/>
      <c r="D125" s="991"/>
      <c r="E125" s="991"/>
      <c r="F125" s="991"/>
      <c r="G125" s="991"/>
      <c r="H125" s="991"/>
      <c r="I125" s="991"/>
      <c r="J125" s="991"/>
      <c r="K125" s="991"/>
      <c r="L125" s="991"/>
      <c r="M125" s="991"/>
      <c r="N125" s="991"/>
      <c r="O125" s="991"/>
      <c r="P125" s="991"/>
      <c r="Q125" s="991"/>
      <c r="R125" s="991"/>
      <c r="S125" s="991"/>
      <c r="T125" s="991"/>
      <c r="U125" s="991"/>
    </row>
    <row r="126" spans="1:21" ht="15.5" x14ac:dyDescent="0.25">
      <c r="A126" s="990"/>
      <c r="B126" s="991"/>
      <c r="C126" s="991"/>
      <c r="D126" s="991"/>
      <c r="E126" s="991"/>
      <c r="F126" s="991"/>
      <c r="G126" s="991"/>
      <c r="H126" s="991"/>
      <c r="I126" s="991"/>
      <c r="J126" s="991"/>
      <c r="K126" s="991"/>
      <c r="L126" s="991"/>
      <c r="M126" s="991"/>
      <c r="N126" s="991"/>
      <c r="O126" s="991"/>
      <c r="P126" s="991"/>
      <c r="Q126" s="991"/>
      <c r="R126" s="991"/>
      <c r="S126" s="991"/>
      <c r="T126" s="991"/>
      <c r="U126" s="991"/>
    </row>
    <row r="127" spans="1:21" x14ac:dyDescent="0.25">
      <c r="A127" s="566"/>
      <c r="B127" s="567"/>
      <c r="C127" s="567"/>
      <c r="D127" s="447"/>
      <c r="E127" s="447"/>
      <c r="F127" s="447"/>
      <c r="G127" s="447"/>
      <c r="H127" s="447"/>
      <c r="I127" s="447"/>
      <c r="J127" s="447"/>
      <c r="K127" s="447"/>
      <c r="L127" s="447"/>
      <c r="M127" s="447"/>
      <c r="N127" s="447"/>
      <c r="O127" s="447"/>
      <c r="P127" s="447"/>
      <c r="Q127" s="447"/>
    </row>
    <row r="128" spans="1:21" ht="14" x14ac:dyDescent="0.3">
      <c r="A128" s="992" t="s">
        <v>244</v>
      </c>
      <c r="B128" s="993"/>
      <c r="C128" s="994" t="s">
        <v>219</v>
      </c>
      <c r="D128" s="994"/>
      <c r="E128" s="994"/>
      <c r="F128" s="994"/>
      <c r="G128" s="994"/>
      <c r="H128" s="994"/>
      <c r="J128" s="992" t="str">
        <f>A128</f>
        <v>No. Urut</v>
      </c>
      <c r="K128" s="993"/>
      <c r="L128" s="995" t="s">
        <v>219</v>
      </c>
      <c r="M128" s="996"/>
      <c r="N128" s="996"/>
      <c r="O128" s="997"/>
      <c r="P128" s="568"/>
      <c r="Q128" s="568"/>
    </row>
    <row r="129" spans="1:17" ht="13" customHeight="1" x14ac:dyDescent="0.25">
      <c r="A129" s="992"/>
      <c r="B129" s="993"/>
      <c r="C129" s="998" t="str">
        <f>B4</f>
        <v>Setting VAC</v>
      </c>
      <c r="D129" s="998"/>
      <c r="E129" s="998"/>
      <c r="F129" s="998"/>
      <c r="G129" s="569" t="s">
        <v>221</v>
      </c>
      <c r="H129" s="569" t="s">
        <v>222</v>
      </c>
      <c r="J129" s="992"/>
      <c r="K129" s="993"/>
      <c r="L129" s="988" t="str">
        <f>B12</f>
        <v>Current Leakage</v>
      </c>
      <c r="M129" s="988"/>
      <c r="N129" s="988"/>
      <c r="O129" s="988"/>
      <c r="P129" s="569" t="s">
        <v>221</v>
      </c>
      <c r="Q129" s="569" t="s">
        <v>222</v>
      </c>
    </row>
    <row r="130" spans="1:17" ht="14" x14ac:dyDescent="0.25">
      <c r="A130" s="992"/>
      <c r="B130" s="993"/>
      <c r="C130" s="570" t="s">
        <v>223</v>
      </c>
      <c r="D130" s="569"/>
      <c r="E130" s="569"/>
      <c r="F130" s="480"/>
      <c r="G130" s="569"/>
      <c r="H130" s="569"/>
      <c r="J130" s="992"/>
      <c r="K130" s="993"/>
      <c r="L130" s="570" t="s">
        <v>225</v>
      </c>
      <c r="M130" s="569"/>
      <c r="N130" s="569"/>
      <c r="O130" s="480"/>
      <c r="P130" s="569"/>
      <c r="Q130" s="569"/>
    </row>
    <row r="131" spans="1:17" ht="14" x14ac:dyDescent="0.25">
      <c r="A131" s="989" t="s">
        <v>50</v>
      </c>
      <c r="B131" s="571">
        <v>1</v>
      </c>
      <c r="C131" s="571">
        <f t="shared" ref="C131:H131" si="31">B6</f>
        <v>150</v>
      </c>
      <c r="D131" s="571">
        <f t="shared" si="31"/>
        <v>0.31</v>
      </c>
      <c r="E131" s="571">
        <f t="shared" si="31"/>
        <v>0.76</v>
      </c>
      <c r="F131" s="571">
        <f t="shared" si="31"/>
        <v>0</v>
      </c>
      <c r="G131" s="571">
        <f t="shared" si="31"/>
        <v>0.22500000000000001</v>
      </c>
      <c r="H131" s="571">
        <f t="shared" si="31"/>
        <v>1.8</v>
      </c>
      <c r="J131" s="989" t="s">
        <v>50</v>
      </c>
      <c r="K131" s="571">
        <v>1</v>
      </c>
      <c r="L131" s="572">
        <f t="shared" ref="L131:Q131" si="32">B14</f>
        <v>0</v>
      </c>
      <c r="M131" s="572">
        <f t="shared" si="32"/>
        <v>9.9999999999999995E-7</v>
      </c>
      <c r="N131" s="572">
        <f t="shared" si="32"/>
        <v>9.9999999999999995E-7</v>
      </c>
      <c r="O131" s="572">
        <f t="shared" si="32"/>
        <v>0</v>
      </c>
      <c r="P131" s="572">
        <f t="shared" si="32"/>
        <v>0</v>
      </c>
      <c r="Q131" s="572">
        <f t="shared" si="32"/>
        <v>0.3</v>
      </c>
    </row>
    <row r="132" spans="1:17" ht="14" x14ac:dyDescent="0.25">
      <c r="A132" s="989"/>
      <c r="B132" s="571">
        <v>2</v>
      </c>
      <c r="C132" s="573">
        <f t="shared" ref="C132:H132" si="33">I6</f>
        <v>150</v>
      </c>
      <c r="D132" s="573">
        <f t="shared" si="33"/>
        <v>0.15</v>
      </c>
      <c r="E132" s="573">
        <f t="shared" si="33"/>
        <v>0.23</v>
      </c>
      <c r="F132" s="573">
        <f t="shared" si="33"/>
        <v>0</v>
      </c>
      <c r="G132" s="573">
        <f t="shared" si="33"/>
        <v>4.0000000000000008E-2</v>
      </c>
      <c r="H132" s="573">
        <f t="shared" si="33"/>
        <v>1.8</v>
      </c>
      <c r="J132" s="989"/>
      <c r="K132" s="571">
        <v>2</v>
      </c>
      <c r="L132" s="572">
        <f t="shared" ref="L132:Q132" si="34">I14</f>
        <v>0</v>
      </c>
      <c r="M132" s="572">
        <f t="shared" si="34"/>
        <v>9.9999999999999995E-7</v>
      </c>
      <c r="N132" s="572">
        <f t="shared" si="34"/>
        <v>9.9999999999999995E-7</v>
      </c>
      <c r="O132" s="572">
        <f t="shared" si="34"/>
        <v>0</v>
      </c>
      <c r="P132" s="572">
        <f t="shared" si="34"/>
        <v>0</v>
      </c>
      <c r="Q132" s="572">
        <f t="shared" si="34"/>
        <v>0.3</v>
      </c>
    </row>
    <row r="133" spans="1:17" ht="13" x14ac:dyDescent="0.25">
      <c r="A133" s="989"/>
      <c r="B133" s="574">
        <v>3</v>
      </c>
      <c r="C133" s="573">
        <f t="shared" ref="C133:H133" si="35">P6</f>
        <v>150</v>
      </c>
      <c r="D133" s="573">
        <f t="shared" si="35"/>
        <v>-1.43</v>
      </c>
      <c r="E133" s="573">
        <f t="shared" si="35"/>
        <v>-1.6</v>
      </c>
      <c r="F133" s="573">
        <f t="shared" si="35"/>
        <v>-7.0000000000000007E-2</v>
      </c>
      <c r="G133" s="573">
        <f t="shared" si="35"/>
        <v>0.76500000000000001</v>
      </c>
      <c r="H133" s="573">
        <f t="shared" si="35"/>
        <v>1.8</v>
      </c>
      <c r="J133" s="989"/>
      <c r="K133" s="574">
        <v>3</v>
      </c>
      <c r="L133" s="572">
        <f t="shared" ref="L133:Q133" si="36">P14</f>
        <v>9.9999999999999995E-7</v>
      </c>
      <c r="M133" s="572">
        <f t="shared" si="36"/>
        <v>9.9999999999999995E-7</v>
      </c>
      <c r="N133" s="572">
        <f t="shared" si="36"/>
        <v>9.9999999999999995E-7</v>
      </c>
      <c r="O133" s="572">
        <f t="shared" si="36"/>
        <v>9.9999999999999995E-7</v>
      </c>
      <c r="P133" s="572">
        <f t="shared" si="36"/>
        <v>0</v>
      </c>
      <c r="Q133" s="572">
        <f t="shared" si="36"/>
        <v>5.8999999999999999E-9</v>
      </c>
    </row>
    <row r="134" spans="1:17" ht="13" x14ac:dyDescent="0.25">
      <c r="A134" s="989"/>
      <c r="B134" s="574">
        <v>4</v>
      </c>
      <c r="C134" s="575">
        <f t="shared" ref="C134:H134" si="37">B37</f>
        <v>150</v>
      </c>
      <c r="D134" s="575">
        <f t="shared" si="37"/>
        <v>-0.05</v>
      </c>
      <c r="E134" s="575">
        <f t="shared" si="37"/>
        <v>0.11</v>
      </c>
      <c r="F134" s="575">
        <f t="shared" si="37"/>
        <v>0</v>
      </c>
      <c r="G134" s="575">
        <f t="shared" si="37"/>
        <v>0.08</v>
      </c>
      <c r="H134" s="575">
        <f t="shared" si="37"/>
        <v>1.8</v>
      </c>
      <c r="J134" s="989"/>
      <c r="K134" s="574">
        <v>4</v>
      </c>
      <c r="L134" s="572">
        <f t="shared" ref="L134:Q134" si="38">B45</f>
        <v>0</v>
      </c>
      <c r="M134" s="572">
        <f t="shared" si="38"/>
        <v>9.9999999999999995E-7</v>
      </c>
      <c r="N134" s="572">
        <f t="shared" si="38"/>
        <v>9.9999999999999995E-7</v>
      </c>
      <c r="O134" s="572">
        <f t="shared" si="38"/>
        <v>0</v>
      </c>
      <c r="P134" s="572">
        <f t="shared" si="38"/>
        <v>0</v>
      </c>
      <c r="Q134" s="572">
        <f t="shared" si="38"/>
        <v>0.3</v>
      </c>
    </row>
    <row r="135" spans="1:17" ht="13" x14ac:dyDescent="0.25">
      <c r="A135" s="989"/>
      <c r="B135" s="576">
        <v>5</v>
      </c>
      <c r="C135" s="575">
        <f t="shared" ref="C135:H135" si="39">I37</f>
        <v>150</v>
      </c>
      <c r="D135" s="575">
        <f t="shared" si="39"/>
        <v>0.25</v>
      </c>
      <c r="E135" s="575">
        <f t="shared" si="39"/>
        <v>0.02</v>
      </c>
      <c r="F135" s="575">
        <f t="shared" si="39"/>
        <v>0</v>
      </c>
      <c r="G135" s="575">
        <f t="shared" si="39"/>
        <v>0.115</v>
      </c>
      <c r="H135" s="575">
        <f t="shared" si="39"/>
        <v>1.8</v>
      </c>
      <c r="J135" s="989"/>
      <c r="K135" s="576">
        <v>5</v>
      </c>
      <c r="L135" s="572">
        <f t="shared" ref="L135:Q135" si="40">I45</f>
        <v>0</v>
      </c>
      <c r="M135" s="572">
        <f t="shared" si="40"/>
        <v>9.9999999999999995E-7</v>
      </c>
      <c r="N135" s="572">
        <f t="shared" si="40"/>
        <v>9.9999999999999995E-7</v>
      </c>
      <c r="O135" s="572">
        <f t="shared" si="40"/>
        <v>0</v>
      </c>
      <c r="P135" s="572">
        <f t="shared" si="40"/>
        <v>0</v>
      </c>
      <c r="Q135" s="572">
        <f t="shared" si="40"/>
        <v>0</v>
      </c>
    </row>
    <row r="136" spans="1:17" ht="13" x14ac:dyDescent="0.25">
      <c r="A136" s="989"/>
      <c r="B136" s="576">
        <v>6</v>
      </c>
      <c r="C136" s="575">
        <f t="shared" ref="C136:H136" si="41">P37</f>
        <v>150</v>
      </c>
      <c r="D136" s="575">
        <f t="shared" si="41"/>
        <v>0.15</v>
      </c>
      <c r="E136" s="575">
        <f t="shared" si="41"/>
        <v>-0.15</v>
      </c>
      <c r="F136" s="575">
        <f t="shared" si="41"/>
        <v>0.03</v>
      </c>
      <c r="G136" s="575">
        <f t="shared" si="41"/>
        <v>0.15</v>
      </c>
      <c r="H136" s="575">
        <f t="shared" si="41"/>
        <v>1.8</v>
      </c>
      <c r="J136" s="989"/>
      <c r="K136" s="576">
        <v>6</v>
      </c>
      <c r="L136" s="572">
        <f t="shared" ref="L136:Q136" si="42">P45</f>
        <v>0</v>
      </c>
      <c r="M136" s="572">
        <f t="shared" si="42"/>
        <v>0</v>
      </c>
      <c r="N136" s="572">
        <f t="shared" si="42"/>
        <v>9.9999999999999995E-7</v>
      </c>
      <c r="O136" s="572">
        <f t="shared" si="42"/>
        <v>9.9999999999999995E-7</v>
      </c>
      <c r="P136" s="572">
        <f t="shared" si="42"/>
        <v>4.9999999999999998E-7</v>
      </c>
      <c r="Q136" s="572">
        <f t="shared" si="42"/>
        <v>0.28999999999999998</v>
      </c>
    </row>
    <row r="137" spans="1:17" ht="13" x14ac:dyDescent="0.25">
      <c r="A137" s="989"/>
      <c r="B137" s="576">
        <v>7</v>
      </c>
      <c r="C137" s="575">
        <f t="shared" ref="C137:H137" si="43">B68</f>
        <v>150</v>
      </c>
      <c r="D137" s="575">
        <f t="shared" si="43"/>
        <v>0.36</v>
      </c>
      <c r="E137" s="575">
        <f t="shared" si="43"/>
        <v>0.21</v>
      </c>
      <c r="F137" s="575">
        <f t="shared" si="43"/>
        <v>0.27</v>
      </c>
      <c r="G137" s="575">
        <f t="shared" si="43"/>
        <v>7.4999999999999997E-2</v>
      </c>
      <c r="H137" s="575">
        <f t="shared" si="43"/>
        <v>1.8</v>
      </c>
      <c r="J137" s="989"/>
      <c r="K137" s="576">
        <v>7</v>
      </c>
      <c r="L137" s="572">
        <f t="shared" ref="L137:Q137" si="44">B76</f>
        <v>0</v>
      </c>
      <c r="M137" s="572">
        <f t="shared" si="44"/>
        <v>0</v>
      </c>
      <c r="N137" s="572">
        <f t="shared" si="44"/>
        <v>9.9999999999999995E-7</v>
      </c>
      <c r="O137" s="572">
        <f t="shared" si="44"/>
        <v>9.9999999999999995E-7</v>
      </c>
      <c r="P137" s="572">
        <f t="shared" si="44"/>
        <v>4.9999999999999998E-7</v>
      </c>
      <c r="Q137" s="572">
        <f t="shared" si="44"/>
        <v>0.3</v>
      </c>
    </row>
    <row r="138" spans="1:17" ht="13" x14ac:dyDescent="0.25">
      <c r="A138" s="989"/>
      <c r="B138" s="576">
        <v>8</v>
      </c>
      <c r="C138" s="575">
        <f t="shared" ref="C138:H138" si="45">I68</f>
        <v>150</v>
      </c>
      <c r="D138" s="575">
        <f t="shared" si="45"/>
        <v>-0.17</v>
      </c>
      <c r="E138" s="575">
        <f t="shared" si="45"/>
        <v>-0.24</v>
      </c>
      <c r="F138" s="575">
        <f t="shared" si="45"/>
        <v>0</v>
      </c>
      <c r="G138" s="575">
        <f t="shared" si="45"/>
        <v>3.4999999999999989E-2</v>
      </c>
      <c r="H138" s="575">
        <f t="shared" si="45"/>
        <v>1.8</v>
      </c>
      <c r="J138" s="989"/>
      <c r="K138" s="576">
        <v>8</v>
      </c>
      <c r="L138" s="572">
        <f t="shared" ref="L138:Q138" si="46">I76</f>
        <v>0</v>
      </c>
      <c r="M138" s="572">
        <f t="shared" si="46"/>
        <v>9.9999999999999995E-7</v>
      </c>
      <c r="N138" s="572">
        <f t="shared" si="46"/>
        <v>9.9999999999999995E-7</v>
      </c>
      <c r="O138" s="572">
        <f t="shared" si="46"/>
        <v>0</v>
      </c>
      <c r="P138" s="572">
        <f t="shared" si="46"/>
        <v>0</v>
      </c>
      <c r="Q138" s="572">
        <f t="shared" si="46"/>
        <v>0</v>
      </c>
    </row>
    <row r="139" spans="1:17" ht="13" x14ac:dyDescent="0.25">
      <c r="A139" s="989"/>
      <c r="B139" s="576">
        <v>9</v>
      </c>
      <c r="C139" s="575">
        <f t="shared" ref="C139:H139" si="47">P68</f>
        <v>150</v>
      </c>
      <c r="D139" s="575">
        <f t="shared" si="47"/>
        <v>-0.08</v>
      </c>
      <c r="E139" s="575">
        <f t="shared" si="47"/>
        <v>-0.17</v>
      </c>
      <c r="F139" s="575">
        <f t="shared" si="47"/>
        <v>0</v>
      </c>
      <c r="G139" s="575">
        <f t="shared" si="47"/>
        <v>4.5000000000000005E-2</v>
      </c>
      <c r="H139" s="575">
        <f t="shared" si="47"/>
        <v>1.8</v>
      </c>
      <c r="J139" s="989"/>
      <c r="K139" s="576">
        <v>9</v>
      </c>
      <c r="L139" s="572">
        <f t="shared" ref="L139:Q139" si="48">P76</f>
        <v>0</v>
      </c>
      <c r="M139" s="572">
        <f t="shared" si="48"/>
        <v>0</v>
      </c>
      <c r="N139" s="572">
        <f t="shared" si="48"/>
        <v>9.9999999999999995E-7</v>
      </c>
      <c r="O139" s="572">
        <f t="shared" si="48"/>
        <v>0</v>
      </c>
      <c r="P139" s="572">
        <f t="shared" si="48"/>
        <v>4.9999999999999998E-7</v>
      </c>
      <c r="Q139" s="572">
        <f t="shared" si="48"/>
        <v>0.12</v>
      </c>
    </row>
    <row r="140" spans="1:17" ht="13" x14ac:dyDescent="0.25">
      <c r="A140" s="989"/>
      <c r="B140" s="576">
        <v>10</v>
      </c>
      <c r="C140" s="575">
        <f t="shared" ref="C140:H140" si="49">B99</f>
        <v>150</v>
      </c>
      <c r="D140" s="575">
        <f t="shared" si="49"/>
        <v>-0.05</v>
      </c>
      <c r="E140" s="575" t="str">
        <f t="shared" si="49"/>
        <v>-</v>
      </c>
      <c r="F140" s="575">
        <f t="shared" si="49"/>
        <v>0</v>
      </c>
      <c r="G140" s="575">
        <f t="shared" si="49"/>
        <v>0</v>
      </c>
      <c r="H140" s="575" t="str">
        <f t="shared" si="49"/>
        <v>-</v>
      </c>
      <c r="J140" s="989"/>
      <c r="K140" s="576">
        <v>10</v>
      </c>
      <c r="L140" s="572">
        <f t="shared" ref="L140:Q140" si="50">B107</f>
        <v>0</v>
      </c>
      <c r="M140" s="572">
        <f t="shared" si="50"/>
        <v>9.9999999999999995E-7</v>
      </c>
      <c r="N140" s="572" t="str">
        <f t="shared" si="50"/>
        <v>-</v>
      </c>
      <c r="O140" s="572">
        <f t="shared" si="50"/>
        <v>0</v>
      </c>
      <c r="P140" s="572">
        <f t="shared" si="50"/>
        <v>0</v>
      </c>
      <c r="Q140" s="572" t="str">
        <f t="shared" si="50"/>
        <v>-</v>
      </c>
    </row>
    <row r="141" spans="1:17" ht="13" x14ac:dyDescent="0.25">
      <c r="A141" s="989"/>
      <c r="B141" s="576">
        <v>11</v>
      </c>
      <c r="C141" s="575">
        <f t="shared" ref="C141:H141" si="51">I99</f>
        <v>150</v>
      </c>
      <c r="D141" s="575">
        <f t="shared" si="51"/>
        <v>9.9999999999999995E-7</v>
      </c>
      <c r="E141" s="575" t="str">
        <f t="shared" si="51"/>
        <v>-</v>
      </c>
      <c r="F141" s="575">
        <f t="shared" si="51"/>
        <v>0</v>
      </c>
      <c r="G141" s="575">
        <f t="shared" si="51"/>
        <v>0</v>
      </c>
      <c r="H141" s="575" t="str">
        <f t="shared" si="51"/>
        <v>-</v>
      </c>
      <c r="J141" s="989"/>
      <c r="K141" s="576">
        <v>11</v>
      </c>
      <c r="L141" s="572">
        <f t="shared" ref="L141:Q141" si="52">I107</f>
        <v>0</v>
      </c>
      <c r="M141" s="572">
        <f t="shared" si="52"/>
        <v>9.9999999999999995E-7</v>
      </c>
      <c r="N141" s="572" t="str">
        <f t="shared" si="52"/>
        <v>-</v>
      </c>
      <c r="O141" s="572">
        <f t="shared" si="52"/>
        <v>0</v>
      </c>
      <c r="P141" s="572">
        <f t="shared" si="52"/>
        <v>0</v>
      </c>
      <c r="Q141" s="572" t="str">
        <f t="shared" si="52"/>
        <v>-</v>
      </c>
    </row>
    <row r="142" spans="1:17" ht="13" x14ac:dyDescent="0.25">
      <c r="A142" s="989"/>
      <c r="B142" s="576">
        <v>12</v>
      </c>
      <c r="C142" s="575">
        <f t="shared" ref="C142:H142" si="53">P99</f>
        <v>150</v>
      </c>
      <c r="D142" s="575">
        <f t="shared" si="53"/>
        <v>9.9999999999999995E-7</v>
      </c>
      <c r="E142" s="575" t="str">
        <f t="shared" si="53"/>
        <v>-</v>
      </c>
      <c r="F142" s="575">
        <f t="shared" si="53"/>
        <v>0</v>
      </c>
      <c r="G142" s="575">
        <f t="shared" si="53"/>
        <v>0</v>
      </c>
      <c r="H142" s="575" t="str">
        <f t="shared" si="53"/>
        <v>-</v>
      </c>
      <c r="J142" s="989"/>
      <c r="K142" s="576">
        <v>12</v>
      </c>
      <c r="L142" s="572">
        <f t="shared" ref="L142:Q142" si="54">P107</f>
        <v>0</v>
      </c>
      <c r="M142" s="572">
        <f t="shared" si="54"/>
        <v>9.9999999999999995E-7</v>
      </c>
      <c r="N142" s="572" t="str">
        <f t="shared" si="54"/>
        <v>-</v>
      </c>
      <c r="O142" s="572">
        <f t="shared" si="54"/>
        <v>0</v>
      </c>
      <c r="P142" s="572">
        <f t="shared" si="54"/>
        <v>0</v>
      </c>
      <c r="Q142" s="572" t="str">
        <f t="shared" si="54"/>
        <v>-</v>
      </c>
    </row>
    <row r="143" spans="1:17" s="435" customFormat="1" ht="13" x14ac:dyDescent="0.25">
      <c r="A143" s="34"/>
      <c r="B143" s="34"/>
      <c r="C143" s="73"/>
      <c r="D143" s="73"/>
      <c r="E143" s="73"/>
      <c r="F143" s="455"/>
      <c r="G143" s="73"/>
      <c r="H143" s="73"/>
      <c r="J143" s="34"/>
      <c r="K143" s="34"/>
      <c r="L143" s="577"/>
      <c r="M143" s="577"/>
      <c r="N143" s="577"/>
      <c r="O143" s="455"/>
      <c r="P143" s="577"/>
      <c r="Q143" s="577"/>
    </row>
    <row r="144" spans="1:17" ht="14" x14ac:dyDescent="0.25">
      <c r="A144" s="989" t="s">
        <v>51</v>
      </c>
      <c r="B144" s="571">
        <v>1</v>
      </c>
      <c r="C144" s="571">
        <f t="shared" ref="C144:H144" si="55">B7</f>
        <v>180</v>
      </c>
      <c r="D144" s="571">
        <f t="shared" si="55"/>
        <v>0.1</v>
      </c>
      <c r="E144" s="571">
        <f t="shared" si="55"/>
        <v>-0.03</v>
      </c>
      <c r="F144" s="571">
        <f t="shared" si="55"/>
        <v>0</v>
      </c>
      <c r="G144" s="571">
        <f t="shared" si="55"/>
        <v>6.5000000000000002E-2</v>
      </c>
      <c r="H144" s="571">
        <f t="shared" si="55"/>
        <v>2.16</v>
      </c>
      <c r="J144" s="989" t="s">
        <v>51</v>
      </c>
      <c r="K144" s="571">
        <v>1</v>
      </c>
      <c r="L144" s="571">
        <f t="shared" ref="L144:Q144" si="56">B15</f>
        <v>50</v>
      </c>
      <c r="M144" s="571">
        <f t="shared" si="56"/>
        <v>0.1</v>
      </c>
      <c r="N144" s="571">
        <f t="shared" si="56"/>
        <v>-0.06</v>
      </c>
      <c r="O144" s="571">
        <f t="shared" si="56"/>
        <v>0</v>
      </c>
      <c r="P144" s="571">
        <f t="shared" si="56"/>
        <v>0.08</v>
      </c>
      <c r="Q144" s="571">
        <f t="shared" si="56"/>
        <v>0.29499999999999998</v>
      </c>
    </row>
    <row r="145" spans="1:17" ht="14" x14ac:dyDescent="0.25">
      <c r="A145" s="989"/>
      <c r="B145" s="571">
        <v>2</v>
      </c>
      <c r="C145" s="571">
        <f t="shared" ref="C145:H145" si="57">I7</f>
        <v>180</v>
      </c>
      <c r="D145" s="571">
        <f t="shared" si="57"/>
        <v>0.12</v>
      </c>
      <c r="E145" s="571">
        <f t="shared" si="57"/>
        <v>-0.06</v>
      </c>
      <c r="F145" s="571">
        <f t="shared" si="57"/>
        <v>0</v>
      </c>
      <c r="G145" s="571">
        <f t="shared" si="57"/>
        <v>0.09</v>
      </c>
      <c r="H145" s="571">
        <f t="shared" si="57"/>
        <v>2.16</v>
      </c>
      <c r="J145" s="989"/>
      <c r="K145" s="571">
        <v>2</v>
      </c>
      <c r="L145" s="571">
        <f t="shared" ref="L145:Q145" si="58">I15</f>
        <v>50</v>
      </c>
      <c r="M145" s="571">
        <f t="shared" si="58"/>
        <v>-0.08</v>
      </c>
      <c r="N145" s="571">
        <f t="shared" si="58"/>
        <v>0.1</v>
      </c>
      <c r="O145" s="571">
        <f t="shared" si="58"/>
        <v>0</v>
      </c>
      <c r="P145" s="571">
        <f t="shared" si="58"/>
        <v>0.09</v>
      </c>
      <c r="Q145" s="571">
        <f t="shared" si="58"/>
        <v>0.29499999999999998</v>
      </c>
    </row>
    <row r="146" spans="1:17" ht="14" x14ac:dyDescent="0.25">
      <c r="A146" s="989"/>
      <c r="B146" s="574">
        <v>3</v>
      </c>
      <c r="C146" s="571">
        <f t="shared" ref="C146:H146" si="59">P7</f>
        <v>180</v>
      </c>
      <c r="D146" s="571">
        <f t="shared" si="59"/>
        <v>-1.81</v>
      </c>
      <c r="E146" s="571">
        <f t="shared" si="59"/>
        <v>-1.9</v>
      </c>
      <c r="F146" s="571">
        <f t="shared" si="59"/>
        <v>-0.13</v>
      </c>
      <c r="G146" s="571">
        <f t="shared" si="59"/>
        <v>0.88500000000000001</v>
      </c>
      <c r="H146" s="571">
        <f t="shared" si="59"/>
        <v>2.16</v>
      </c>
      <c r="J146" s="989"/>
      <c r="K146" s="574">
        <v>3</v>
      </c>
      <c r="L146" s="571">
        <f t="shared" ref="L146:Q146" si="60">P15</f>
        <v>50</v>
      </c>
      <c r="M146" s="571">
        <f t="shared" si="60"/>
        <v>9.1</v>
      </c>
      <c r="N146" s="571">
        <f t="shared" si="60"/>
        <v>-0.62</v>
      </c>
      <c r="O146" s="571">
        <f t="shared" si="60"/>
        <v>2</v>
      </c>
      <c r="P146" s="571">
        <f t="shared" si="60"/>
        <v>4.8599999999999994</v>
      </c>
      <c r="Q146" s="571">
        <f t="shared" si="60"/>
        <v>0.29499999999999998</v>
      </c>
    </row>
    <row r="147" spans="1:17" ht="14" x14ac:dyDescent="0.25">
      <c r="A147" s="989"/>
      <c r="B147" s="574">
        <v>4</v>
      </c>
      <c r="C147" s="571">
        <f t="shared" ref="C147:H147" si="61">B38</f>
        <v>180</v>
      </c>
      <c r="D147" s="571">
        <f t="shared" si="61"/>
        <v>-0.04</v>
      </c>
      <c r="E147" s="571">
        <f t="shared" si="61"/>
        <v>0.03</v>
      </c>
      <c r="F147" s="571">
        <f t="shared" si="61"/>
        <v>0</v>
      </c>
      <c r="G147" s="571">
        <f t="shared" si="61"/>
        <v>3.5000000000000003E-2</v>
      </c>
      <c r="H147" s="571">
        <f t="shared" si="61"/>
        <v>2.16</v>
      </c>
      <c r="J147" s="989"/>
      <c r="K147" s="574">
        <v>4</v>
      </c>
      <c r="L147" s="571">
        <f t="shared" ref="L147:Q147" si="62">B46</f>
        <v>50</v>
      </c>
      <c r="M147" s="571">
        <f t="shared" si="62"/>
        <v>-0.3</v>
      </c>
      <c r="N147" s="571">
        <f t="shared" si="62"/>
        <v>-0.28999999999999998</v>
      </c>
      <c r="O147" s="571">
        <f t="shared" si="62"/>
        <v>0</v>
      </c>
      <c r="P147" s="571">
        <f t="shared" si="62"/>
        <v>5.0000000000000044E-3</v>
      </c>
      <c r="Q147" s="571">
        <f t="shared" si="62"/>
        <v>0.29499999999999998</v>
      </c>
    </row>
    <row r="148" spans="1:17" ht="14" x14ac:dyDescent="0.25">
      <c r="A148" s="989"/>
      <c r="B148" s="576">
        <v>5</v>
      </c>
      <c r="C148" s="571">
        <f t="shared" ref="C148:H148" si="63">I38</f>
        <v>180</v>
      </c>
      <c r="D148" s="571">
        <f t="shared" si="63"/>
        <v>0.09</v>
      </c>
      <c r="E148" s="571">
        <f t="shared" si="63"/>
        <v>0.1</v>
      </c>
      <c r="F148" s="571">
        <f t="shared" si="63"/>
        <v>0</v>
      </c>
      <c r="G148" s="571">
        <f t="shared" si="63"/>
        <v>5.0000000000000044E-3</v>
      </c>
      <c r="H148" s="571">
        <f t="shared" si="63"/>
        <v>2.16</v>
      </c>
      <c r="J148" s="989"/>
      <c r="K148" s="576">
        <v>5</v>
      </c>
      <c r="L148" s="571">
        <f t="shared" ref="L148:Q148" si="64">I46</f>
        <v>50</v>
      </c>
      <c r="M148" s="571">
        <f t="shared" si="64"/>
        <v>0.3</v>
      </c>
      <c r="N148" s="571">
        <f t="shared" si="64"/>
        <v>-0.33</v>
      </c>
      <c r="O148" s="571">
        <f t="shared" si="64"/>
        <v>0</v>
      </c>
      <c r="P148" s="571">
        <f t="shared" si="64"/>
        <v>0.315</v>
      </c>
      <c r="Q148" s="571">
        <f t="shared" si="64"/>
        <v>0.28999999999999998</v>
      </c>
    </row>
    <row r="149" spans="1:17" ht="14" x14ac:dyDescent="0.25">
      <c r="A149" s="989"/>
      <c r="B149" s="576">
        <v>6</v>
      </c>
      <c r="C149" s="571">
        <f t="shared" ref="C149:H149" si="65">P38</f>
        <v>180</v>
      </c>
      <c r="D149" s="571">
        <f t="shared" si="65"/>
        <v>0.17</v>
      </c>
      <c r="E149" s="571">
        <f t="shared" si="65"/>
        <v>-0.11</v>
      </c>
      <c r="F149" s="571">
        <f t="shared" si="65"/>
        <v>9.9999999999999995E-7</v>
      </c>
      <c r="G149" s="571">
        <f t="shared" si="65"/>
        <v>0.14000000000000001</v>
      </c>
      <c r="H149" s="571">
        <f t="shared" si="65"/>
        <v>2.16</v>
      </c>
      <c r="J149" s="989"/>
      <c r="K149" s="576">
        <v>6</v>
      </c>
      <c r="L149" s="571">
        <f t="shared" ref="L149:Q149" si="66">P46</f>
        <v>50</v>
      </c>
      <c r="M149" s="571">
        <f t="shared" si="66"/>
        <v>19.100000000000001</v>
      </c>
      <c r="N149" s="571">
        <f t="shared" si="66"/>
        <v>0.02</v>
      </c>
      <c r="O149" s="571">
        <f t="shared" si="66"/>
        <v>-0.1</v>
      </c>
      <c r="P149" s="571">
        <f t="shared" si="66"/>
        <v>9.6000000000000014</v>
      </c>
      <c r="Q149" s="571">
        <f t="shared" si="66"/>
        <v>0.28999999999999998</v>
      </c>
    </row>
    <row r="150" spans="1:17" ht="14" x14ac:dyDescent="0.25">
      <c r="A150" s="989"/>
      <c r="B150" s="576">
        <v>7</v>
      </c>
      <c r="C150" s="571">
        <f t="shared" ref="C150:H150" si="67">B69</f>
        <v>180</v>
      </c>
      <c r="D150" s="571">
        <f t="shared" si="67"/>
        <v>0.46</v>
      </c>
      <c r="E150" s="571">
        <f t="shared" si="67"/>
        <v>0.33</v>
      </c>
      <c r="F150" s="571">
        <f t="shared" si="67"/>
        <v>0.37</v>
      </c>
      <c r="G150" s="571">
        <f t="shared" si="67"/>
        <v>6.5000000000000002E-2</v>
      </c>
      <c r="H150" s="571">
        <f t="shared" si="67"/>
        <v>2.16</v>
      </c>
      <c r="J150" s="989"/>
      <c r="K150" s="576">
        <v>7</v>
      </c>
      <c r="L150" s="571">
        <f t="shared" ref="L150:Q150" si="68">B77</f>
        <v>50</v>
      </c>
      <c r="M150" s="571">
        <f t="shared" si="68"/>
        <v>1.9</v>
      </c>
      <c r="N150" s="571">
        <f t="shared" si="68"/>
        <v>1.7</v>
      </c>
      <c r="O150" s="571">
        <f t="shared" si="68"/>
        <v>2.1</v>
      </c>
      <c r="P150" s="571">
        <f t="shared" si="68"/>
        <v>0.20000000000000007</v>
      </c>
      <c r="Q150" s="571">
        <f t="shared" si="68"/>
        <v>0.29499999999999998</v>
      </c>
    </row>
    <row r="151" spans="1:17" ht="14" x14ac:dyDescent="0.25">
      <c r="A151" s="989"/>
      <c r="B151" s="576">
        <v>8</v>
      </c>
      <c r="C151" s="571">
        <f t="shared" ref="C151:H151" si="69">I69</f>
        <v>180</v>
      </c>
      <c r="D151" s="571">
        <f t="shared" si="69"/>
        <v>-0.39</v>
      </c>
      <c r="E151" s="571">
        <f t="shared" si="69"/>
        <v>-0.14000000000000001</v>
      </c>
      <c r="F151" s="571">
        <f t="shared" si="69"/>
        <v>0</v>
      </c>
      <c r="G151" s="571">
        <f t="shared" si="69"/>
        <v>0.125</v>
      </c>
      <c r="H151" s="571">
        <f t="shared" si="69"/>
        <v>2.16</v>
      </c>
      <c r="J151" s="989"/>
      <c r="K151" s="576">
        <v>8</v>
      </c>
      <c r="L151" s="571">
        <f t="shared" ref="L151:Q151" si="70">I77</f>
        <v>20</v>
      </c>
      <c r="M151" s="571">
        <f t="shared" si="70"/>
        <v>6.6</v>
      </c>
      <c r="N151" s="571">
        <f t="shared" si="70"/>
        <v>0.9</v>
      </c>
      <c r="O151" s="571">
        <f t="shared" si="70"/>
        <v>0</v>
      </c>
      <c r="P151" s="571">
        <f t="shared" si="70"/>
        <v>2.8499999999999996</v>
      </c>
      <c r="Q151" s="571">
        <f t="shared" si="70"/>
        <v>0.11799999999999999</v>
      </c>
    </row>
    <row r="152" spans="1:17" ht="14" x14ac:dyDescent="0.25">
      <c r="A152" s="989"/>
      <c r="B152" s="576">
        <v>9</v>
      </c>
      <c r="C152" s="571">
        <f t="shared" ref="C152:H152" si="71">P69</f>
        <v>180</v>
      </c>
      <c r="D152" s="571">
        <f t="shared" si="71"/>
        <v>-0.2</v>
      </c>
      <c r="E152" s="571">
        <f t="shared" si="71"/>
        <v>-0.22</v>
      </c>
      <c r="F152" s="571">
        <f t="shared" si="71"/>
        <v>0</v>
      </c>
      <c r="G152" s="571">
        <f t="shared" si="71"/>
        <v>9.999999999999995E-3</v>
      </c>
      <c r="H152" s="571">
        <f t="shared" si="71"/>
        <v>2.16</v>
      </c>
      <c r="J152" s="989"/>
      <c r="K152" s="576">
        <v>9</v>
      </c>
      <c r="L152" s="571">
        <f t="shared" ref="L152:Q152" si="72">P77</f>
        <v>20</v>
      </c>
      <c r="M152" s="571">
        <f t="shared" si="72"/>
        <v>4.9000000000000004</v>
      </c>
      <c r="N152" s="571">
        <f t="shared" si="72"/>
        <v>0.8</v>
      </c>
      <c r="O152" s="571">
        <f t="shared" si="72"/>
        <v>0</v>
      </c>
      <c r="P152" s="571">
        <f t="shared" si="72"/>
        <v>2.0500000000000003</v>
      </c>
      <c r="Q152" s="571">
        <f t="shared" si="72"/>
        <v>0.11799999999999999</v>
      </c>
    </row>
    <row r="153" spans="1:17" ht="14" x14ac:dyDescent="0.25">
      <c r="A153" s="989"/>
      <c r="B153" s="576">
        <v>10</v>
      </c>
      <c r="C153" s="571">
        <f t="shared" ref="C153:H153" si="73">B100</f>
        <v>180</v>
      </c>
      <c r="D153" s="571">
        <f t="shared" si="73"/>
        <v>-0.04</v>
      </c>
      <c r="E153" s="571" t="str">
        <f t="shared" si="73"/>
        <v>-</v>
      </c>
      <c r="F153" s="571">
        <f t="shared" si="73"/>
        <v>0</v>
      </c>
      <c r="G153" s="571">
        <f t="shared" si="73"/>
        <v>0</v>
      </c>
      <c r="H153" s="571" t="str">
        <f t="shared" si="73"/>
        <v>-</v>
      </c>
      <c r="J153" s="989"/>
      <c r="K153" s="576">
        <v>10</v>
      </c>
      <c r="L153" s="571">
        <f t="shared" ref="L153:Q153" si="74">B108</f>
        <v>50</v>
      </c>
      <c r="M153" s="571">
        <f t="shared" si="74"/>
        <v>0.4</v>
      </c>
      <c r="N153" s="571" t="str">
        <f t="shared" si="74"/>
        <v>-</v>
      </c>
      <c r="O153" s="571">
        <f t="shared" si="74"/>
        <v>0</v>
      </c>
      <c r="P153" s="571">
        <f t="shared" si="74"/>
        <v>0</v>
      </c>
      <c r="Q153" s="571" t="str">
        <f t="shared" si="74"/>
        <v>-</v>
      </c>
    </row>
    <row r="154" spans="1:17" ht="14" x14ac:dyDescent="0.25">
      <c r="A154" s="989"/>
      <c r="B154" s="576">
        <v>11</v>
      </c>
      <c r="C154" s="571">
        <f t="shared" ref="C154:H154" si="75">I100</f>
        <v>180</v>
      </c>
      <c r="D154" s="571">
        <f t="shared" si="75"/>
        <v>9.9999999999999995E-7</v>
      </c>
      <c r="E154" s="571" t="str">
        <f t="shared" si="75"/>
        <v>-</v>
      </c>
      <c r="F154" s="571">
        <f t="shared" si="75"/>
        <v>0</v>
      </c>
      <c r="G154" s="571">
        <f t="shared" si="75"/>
        <v>0</v>
      </c>
      <c r="H154" s="571" t="str">
        <f t="shared" si="75"/>
        <v>-</v>
      </c>
      <c r="J154" s="989"/>
      <c r="K154" s="576">
        <v>11</v>
      </c>
      <c r="L154" s="571">
        <f t="shared" ref="L154:Q154" si="76">I108</f>
        <v>50</v>
      </c>
      <c r="M154" s="571">
        <f t="shared" si="76"/>
        <v>9.9999999999999995E-7</v>
      </c>
      <c r="N154" s="571" t="str">
        <f t="shared" si="76"/>
        <v>-</v>
      </c>
      <c r="O154" s="571">
        <f t="shared" si="76"/>
        <v>0</v>
      </c>
      <c r="P154" s="571">
        <f t="shared" si="76"/>
        <v>0</v>
      </c>
      <c r="Q154" s="571" t="str">
        <f t="shared" si="76"/>
        <v>-</v>
      </c>
    </row>
    <row r="155" spans="1:17" ht="14" x14ac:dyDescent="0.25">
      <c r="A155" s="989"/>
      <c r="B155" s="576">
        <v>12</v>
      </c>
      <c r="C155" s="571">
        <f t="shared" ref="C155:H155" si="77">P100</f>
        <v>180</v>
      </c>
      <c r="D155" s="571">
        <f t="shared" si="77"/>
        <v>9.9999999999999995E-7</v>
      </c>
      <c r="E155" s="571" t="str">
        <f t="shared" si="77"/>
        <v>-</v>
      </c>
      <c r="F155" s="571">
        <f t="shared" si="77"/>
        <v>0</v>
      </c>
      <c r="G155" s="571">
        <f t="shared" si="77"/>
        <v>0</v>
      </c>
      <c r="H155" s="571" t="str">
        <f t="shared" si="77"/>
        <v>-</v>
      </c>
      <c r="J155" s="989"/>
      <c r="K155" s="576">
        <v>12</v>
      </c>
      <c r="L155" s="571">
        <f t="shared" ref="L155:Q155" si="78">P108</f>
        <v>50</v>
      </c>
      <c r="M155" s="571">
        <f t="shared" si="78"/>
        <v>9.9999999999999995E-7</v>
      </c>
      <c r="N155" s="571" t="str">
        <f t="shared" si="78"/>
        <v>-</v>
      </c>
      <c r="O155" s="571">
        <f t="shared" si="78"/>
        <v>0</v>
      </c>
      <c r="P155" s="571">
        <f t="shared" si="78"/>
        <v>0</v>
      </c>
      <c r="Q155" s="571" t="str">
        <f t="shared" si="78"/>
        <v>-</v>
      </c>
    </row>
    <row r="156" spans="1:17" s="435" customFormat="1" x14ac:dyDescent="0.25">
      <c r="A156" s="34"/>
      <c r="B156" s="34"/>
      <c r="C156" s="34"/>
      <c r="D156" s="34"/>
      <c r="E156" s="34"/>
      <c r="F156" s="455"/>
      <c r="G156" s="34"/>
      <c r="H156" s="34"/>
      <c r="J156" s="34"/>
      <c r="K156" s="34"/>
      <c r="L156" s="43"/>
      <c r="M156" s="43"/>
      <c r="N156" s="43"/>
      <c r="O156" s="455"/>
      <c r="P156" s="43"/>
      <c r="Q156" s="43"/>
    </row>
    <row r="157" spans="1:17" ht="14" x14ac:dyDescent="0.25">
      <c r="A157" s="989" t="s">
        <v>52</v>
      </c>
      <c r="B157" s="571">
        <v>1</v>
      </c>
      <c r="C157" s="571">
        <f t="shared" ref="C157:H157" si="79">B8</f>
        <v>200</v>
      </c>
      <c r="D157" s="571">
        <f t="shared" si="79"/>
        <v>-0.04</v>
      </c>
      <c r="E157" s="571">
        <f t="shared" si="79"/>
        <v>-0.16</v>
      </c>
      <c r="F157" s="571">
        <f t="shared" si="79"/>
        <v>0</v>
      </c>
      <c r="G157" s="571">
        <f t="shared" si="79"/>
        <v>0.06</v>
      </c>
      <c r="H157" s="571">
        <f t="shared" si="79"/>
        <v>2.4</v>
      </c>
      <c r="J157" s="989" t="s">
        <v>52</v>
      </c>
      <c r="K157" s="571">
        <v>1</v>
      </c>
      <c r="L157" s="578">
        <f t="shared" ref="L157:Q157" si="80">B16</f>
        <v>100</v>
      </c>
      <c r="M157" s="578">
        <f t="shared" si="80"/>
        <v>0.2</v>
      </c>
      <c r="N157" s="578">
        <f t="shared" si="80"/>
        <v>-0.06</v>
      </c>
      <c r="O157" s="578">
        <f t="shared" si="80"/>
        <v>0</v>
      </c>
      <c r="P157" s="578">
        <f t="shared" si="80"/>
        <v>0.13</v>
      </c>
      <c r="Q157" s="578">
        <f t="shared" si="80"/>
        <v>0.59</v>
      </c>
    </row>
    <row r="158" spans="1:17" ht="14" x14ac:dyDescent="0.25">
      <c r="A158" s="989"/>
      <c r="B158" s="571">
        <v>2</v>
      </c>
      <c r="C158" s="571">
        <f t="shared" ref="C158:H158" si="81">I8</f>
        <v>200</v>
      </c>
      <c r="D158" s="571">
        <f t="shared" si="81"/>
        <v>0.06</v>
      </c>
      <c r="E158" s="571">
        <f t="shared" si="81"/>
        <v>-0.18</v>
      </c>
      <c r="F158" s="571">
        <f t="shared" si="81"/>
        <v>0</v>
      </c>
      <c r="G158" s="571">
        <f t="shared" si="81"/>
        <v>0.12</v>
      </c>
      <c r="H158" s="571">
        <f t="shared" si="81"/>
        <v>2.4</v>
      </c>
      <c r="J158" s="989"/>
      <c r="K158" s="571">
        <v>2</v>
      </c>
      <c r="L158" s="578">
        <f t="shared" ref="L158:Q158" si="82">I16</f>
        <v>100</v>
      </c>
      <c r="M158" s="578">
        <f t="shared" si="82"/>
        <v>-7.0000000000000007E-2</v>
      </c>
      <c r="N158" s="578">
        <f t="shared" si="82"/>
        <v>2.2000000000000002</v>
      </c>
      <c r="O158" s="578">
        <f t="shared" si="82"/>
        <v>0</v>
      </c>
      <c r="P158" s="578">
        <f t="shared" si="82"/>
        <v>1.135</v>
      </c>
      <c r="Q158" s="578">
        <f t="shared" si="82"/>
        <v>0.59</v>
      </c>
    </row>
    <row r="159" spans="1:17" x14ac:dyDescent="0.25">
      <c r="A159" s="989"/>
      <c r="B159" s="574">
        <v>3</v>
      </c>
      <c r="C159" s="574">
        <f t="shared" ref="C159:H159" si="83">P8</f>
        <v>200</v>
      </c>
      <c r="D159" s="574">
        <f t="shared" si="83"/>
        <v>-2.0499999999999998</v>
      </c>
      <c r="E159" s="574">
        <f t="shared" si="83"/>
        <v>-2.14</v>
      </c>
      <c r="F159" s="574">
        <f t="shared" si="83"/>
        <v>-0.26</v>
      </c>
      <c r="G159" s="574">
        <f t="shared" si="83"/>
        <v>0.94000000000000006</v>
      </c>
      <c r="H159" s="574">
        <f t="shared" si="83"/>
        <v>2.4</v>
      </c>
      <c r="J159" s="989"/>
      <c r="K159" s="574">
        <v>3</v>
      </c>
      <c r="L159" s="578">
        <f t="shared" ref="L159:Q159" si="84">P16</f>
        <v>100</v>
      </c>
      <c r="M159" s="578">
        <f t="shared" si="84"/>
        <v>6</v>
      </c>
      <c r="N159" s="578">
        <f t="shared" si="84"/>
        <v>-0.22</v>
      </c>
      <c r="O159" s="578">
        <f t="shared" si="84"/>
        <v>2</v>
      </c>
      <c r="P159" s="578">
        <f t="shared" si="84"/>
        <v>3.11</v>
      </c>
      <c r="Q159" s="578">
        <f t="shared" si="84"/>
        <v>0.59</v>
      </c>
    </row>
    <row r="160" spans="1:17" x14ac:dyDescent="0.25">
      <c r="A160" s="989"/>
      <c r="B160" s="574">
        <v>4</v>
      </c>
      <c r="C160" s="574">
        <f t="shared" ref="C160:H160" si="85">B39</f>
        <v>200</v>
      </c>
      <c r="D160" s="574">
        <f t="shared" si="85"/>
        <v>-0.67</v>
      </c>
      <c r="E160" s="574">
        <f t="shared" si="85"/>
        <v>0.05</v>
      </c>
      <c r="F160" s="574">
        <f t="shared" si="85"/>
        <v>0</v>
      </c>
      <c r="G160" s="574">
        <f t="shared" si="85"/>
        <v>0.36000000000000004</v>
      </c>
      <c r="H160" s="574">
        <f t="shared" si="85"/>
        <v>2.4</v>
      </c>
      <c r="J160" s="989"/>
      <c r="K160" s="574">
        <v>4</v>
      </c>
      <c r="L160" s="578">
        <f t="shared" ref="L160:Q160" si="86">B47</f>
        <v>100</v>
      </c>
      <c r="M160" s="578">
        <f t="shared" si="86"/>
        <v>-0.4</v>
      </c>
      <c r="N160" s="578">
        <f t="shared" si="86"/>
        <v>-0.35</v>
      </c>
      <c r="O160" s="578">
        <f t="shared" si="86"/>
        <v>0</v>
      </c>
      <c r="P160" s="578">
        <f t="shared" si="86"/>
        <v>2.5000000000000022E-2</v>
      </c>
      <c r="Q160" s="578">
        <f t="shared" si="86"/>
        <v>0.59</v>
      </c>
    </row>
    <row r="161" spans="1:17" x14ac:dyDescent="0.25">
      <c r="A161" s="989"/>
      <c r="B161" s="576">
        <v>5</v>
      </c>
      <c r="C161" s="576">
        <f t="shared" ref="C161:H161" si="87">I39</f>
        <v>200</v>
      </c>
      <c r="D161" s="576">
        <f t="shared" si="87"/>
        <v>0.18</v>
      </c>
      <c r="E161" s="576">
        <f t="shared" si="87"/>
        <v>-0.03</v>
      </c>
      <c r="F161" s="576">
        <f t="shared" si="87"/>
        <v>0</v>
      </c>
      <c r="G161" s="576">
        <f t="shared" si="87"/>
        <v>0.105</v>
      </c>
      <c r="H161" s="576">
        <f t="shared" si="87"/>
        <v>2.4</v>
      </c>
      <c r="J161" s="989"/>
      <c r="K161" s="576">
        <v>5</v>
      </c>
      <c r="L161" s="578">
        <f t="shared" ref="L161:Q161" si="88">I47</f>
        <v>100</v>
      </c>
      <c r="M161" s="578">
        <f t="shared" si="88"/>
        <v>-0.1</v>
      </c>
      <c r="N161" s="578">
        <f t="shared" si="88"/>
        <v>-0.42</v>
      </c>
      <c r="O161" s="578">
        <f t="shared" si="88"/>
        <v>0</v>
      </c>
      <c r="P161" s="578">
        <f t="shared" si="88"/>
        <v>0.15999999999999998</v>
      </c>
      <c r="Q161" s="578">
        <f t="shared" si="88"/>
        <v>0.57999999999999996</v>
      </c>
    </row>
    <row r="162" spans="1:17" x14ac:dyDescent="0.25">
      <c r="A162" s="989"/>
      <c r="B162" s="576">
        <v>6</v>
      </c>
      <c r="C162" s="576">
        <f t="shared" ref="C162:H162" si="89">P39</f>
        <v>200</v>
      </c>
      <c r="D162" s="576">
        <f t="shared" si="89"/>
        <v>0.1</v>
      </c>
      <c r="E162" s="576">
        <f t="shared" si="89"/>
        <v>-0.1</v>
      </c>
      <c r="F162" s="576">
        <f t="shared" si="89"/>
        <v>0.05</v>
      </c>
      <c r="G162" s="576">
        <f t="shared" si="89"/>
        <v>0.1</v>
      </c>
      <c r="H162" s="576">
        <f t="shared" si="89"/>
        <v>2.4</v>
      </c>
      <c r="J162" s="989"/>
      <c r="K162" s="576">
        <v>6</v>
      </c>
      <c r="L162" s="578">
        <f t="shared" ref="L162:Q162" si="90">P47</f>
        <v>100</v>
      </c>
      <c r="M162" s="578">
        <f t="shared" si="90"/>
        <v>18.399999999999999</v>
      </c>
      <c r="N162" s="578">
        <f t="shared" si="90"/>
        <v>0.22</v>
      </c>
      <c r="O162" s="578">
        <f t="shared" si="90"/>
        <v>-0.2</v>
      </c>
      <c r="P162" s="578">
        <f t="shared" si="90"/>
        <v>9.2999999999999989</v>
      </c>
      <c r="Q162" s="578">
        <f t="shared" si="90"/>
        <v>0.57999999999999996</v>
      </c>
    </row>
    <row r="163" spans="1:17" x14ac:dyDescent="0.25">
      <c r="A163" s="989"/>
      <c r="B163" s="576">
        <v>7</v>
      </c>
      <c r="C163" s="576">
        <f t="shared" ref="C163:H163" si="91">B70</f>
        <v>200</v>
      </c>
      <c r="D163" s="576">
        <f t="shared" si="91"/>
        <v>0.52</v>
      </c>
      <c r="E163" s="576">
        <f t="shared" si="91"/>
        <v>0.34</v>
      </c>
      <c r="F163" s="576">
        <f t="shared" si="91"/>
        <v>0.4</v>
      </c>
      <c r="G163" s="576">
        <f t="shared" si="91"/>
        <v>0.09</v>
      </c>
      <c r="H163" s="576">
        <f t="shared" si="91"/>
        <v>2.4</v>
      </c>
      <c r="J163" s="989"/>
      <c r="K163" s="576">
        <v>7</v>
      </c>
      <c r="L163" s="578">
        <f t="shared" ref="L163:Q163" si="92">B78</f>
        <v>100</v>
      </c>
      <c r="M163" s="578">
        <f t="shared" si="92"/>
        <v>1.7</v>
      </c>
      <c r="N163" s="578">
        <f t="shared" si="92"/>
        <v>1.7</v>
      </c>
      <c r="O163" s="578">
        <f t="shared" si="92"/>
        <v>2.2000000000000002</v>
      </c>
      <c r="P163" s="578">
        <f t="shared" si="92"/>
        <v>0.25000000000000011</v>
      </c>
      <c r="Q163" s="578">
        <f t="shared" si="92"/>
        <v>0.59</v>
      </c>
    </row>
    <row r="164" spans="1:17" x14ac:dyDescent="0.25">
      <c r="A164" s="989"/>
      <c r="B164" s="576">
        <v>8</v>
      </c>
      <c r="C164" s="576">
        <f t="shared" ref="C164:H164" si="93">I70</f>
        <v>200</v>
      </c>
      <c r="D164" s="576">
        <f t="shared" si="93"/>
        <v>-0.23</v>
      </c>
      <c r="E164" s="576">
        <f t="shared" si="93"/>
        <v>-0.33</v>
      </c>
      <c r="F164" s="576">
        <f t="shared" si="93"/>
        <v>0</v>
      </c>
      <c r="G164" s="576">
        <f t="shared" si="93"/>
        <v>0.05</v>
      </c>
      <c r="H164" s="576">
        <f t="shared" si="93"/>
        <v>2.4</v>
      </c>
      <c r="J164" s="989"/>
      <c r="K164" s="576">
        <v>8</v>
      </c>
      <c r="L164" s="578">
        <f t="shared" ref="L164:Q164" si="94">I78</f>
        <v>50</v>
      </c>
      <c r="M164" s="578">
        <f t="shared" si="94"/>
        <v>5</v>
      </c>
      <c r="N164" s="578">
        <f t="shared" si="94"/>
        <v>2.1</v>
      </c>
      <c r="O164" s="578">
        <f t="shared" si="94"/>
        <v>0</v>
      </c>
      <c r="P164" s="578">
        <f t="shared" si="94"/>
        <v>1.45</v>
      </c>
      <c r="Q164" s="578">
        <f t="shared" si="94"/>
        <v>0.29499999999999998</v>
      </c>
    </row>
    <row r="165" spans="1:17" x14ac:dyDescent="0.25">
      <c r="A165" s="989"/>
      <c r="B165" s="576">
        <v>9</v>
      </c>
      <c r="C165" s="576">
        <f t="shared" ref="C165:H165" si="95">P70</f>
        <v>200</v>
      </c>
      <c r="D165" s="576">
        <f t="shared" si="95"/>
        <v>-0.25</v>
      </c>
      <c r="E165" s="576">
        <f t="shared" si="95"/>
        <v>-0.33</v>
      </c>
      <c r="F165" s="576">
        <f t="shared" si="95"/>
        <v>0</v>
      </c>
      <c r="G165" s="576">
        <f t="shared" si="95"/>
        <v>4.0000000000000008E-2</v>
      </c>
      <c r="H165" s="576">
        <f t="shared" si="95"/>
        <v>2.4</v>
      </c>
      <c r="J165" s="989"/>
      <c r="K165" s="576">
        <v>9</v>
      </c>
      <c r="L165" s="578">
        <f t="shared" ref="L165:Q165" si="96">P78</f>
        <v>50</v>
      </c>
      <c r="M165" s="578">
        <f t="shared" si="96"/>
        <v>9.1999999999999993</v>
      </c>
      <c r="N165" s="578">
        <f t="shared" si="96"/>
        <v>1.7</v>
      </c>
      <c r="O165" s="578">
        <f t="shared" si="96"/>
        <v>0</v>
      </c>
      <c r="P165" s="578">
        <f t="shared" si="96"/>
        <v>3.7499999999999996</v>
      </c>
      <c r="Q165" s="578">
        <f t="shared" si="96"/>
        <v>0.29499999999999998</v>
      </c>
    </row>
    <row r="166" spans="1:17" x14ac:dyDescent="0.25">
      <c r="A166" s="989"/>
      <c r="B166" s="576">
        <v>10</v>
      </c>
      <c r="C166" s="576">
        <f t="shared" ref="C166:H166" si="97">B101</f>
        <v>200</v>
      </c>
      <c r="D166" s="576">
        <f t="shared" si="97"/>
        <v>-0.67</v>
      </c>
      <c r="E166" s="576" t="str">
        <f t="shared" si="97"/>
        <v>-</v>
      </c>
      <c r="F166" s="576">
        <f t="shared" si="97"/>
        <v>0</v>
      </c>
      <c r="G166" s="576">
        <f t="shared" si="97"/>
        <v>0</v>
      </c>
      <c r="H166" s="576" t="str">
        <f t="shared" si="97"/>
        <v>-</v>
      </c>
      <c r="J166" s="989"/>
      <c r="K166" s="576">
        <v>10</v>
      </c>
      <c r="L166" s="578">
        <f t="shared" ref="L166:Q166" si="98">B109</f>
        <v>100</v>
      </c>
      <c r="M166" s="578">
        <f t="shared" si="98"/>
        <v>0.4</v>
      </c>
      <c r="N166" s="578" t="str">
        <f t="shared" si="98"/>
        <v>-</v>
      </c>
      <c r="O166" s="578">
        <f t="shared" si="98"/>
        <v>0</v>
      </c>
      <c r="P166" s="578">
        <f t="shared" si="98"/>
        <v>0</v>
      </c>
      <c r="Q166" s="578" t="str">
        <f t="shared" si="98"/>
        <v>-</v>
      </c>
    </row>
    <row r="167" spans="1:17" x14ac:dyDescent="0.25">
      <c r="A167" s="989"/>
      <c r="B167" s="576">
        <v>11</v>
      </c>
      <c r="C167" s="576">
        <f t="shared" ref="C167:H167" si="99">I101</f>
        <v>200</v>
      </c>
      <c r="D167" s="576">
        <f t="shared" si="99"/>
        <v>9.9999999999999995E-7</v>
      </c>
      <c r="E167" s="576" t="str">
        <f t="shared" si="99"/>
        <v>-</v>
      </c>
      <c r="F167" s="576">
        <f t="shared" si="99"/>
        <v>0</v>
      </c>
      <c r="G167" s="576">
        <f t="shared" si="99"/>
        <v>0</v>
      </c>
      <c r="H167" s="576" t="str">
        <f t="shared" si="99"/>
        <v>-</v>
      </c>
      <c r="J167" s="989"/>
      <c r="K167" s="576">
        <v>11</v>
      </c>
      <c r="L167" s="578">
        <f t="shared" ref="L167:Q167" si="100">I109</f>
        <v>100</v>
      </c>
      <c r="M167" s="578">
        <f t="shared" si="100"/>
        <v>9.9999999999999995E-7</v>
      </c>
      <c r="N167" s="578" t="str">
        <f t="shared" si="100"/>
        <v>-</v>
      </c>
      <c r="O167" s="578">
        <f t="shared" si="100"/>
        <v>0</v>
      </c>
      <c r="P167" s="578">
        <f t="shared" si="100"/>
        <v>0</v>
      </c>
      <c r="Q167" s="578" t="str">
        <f t="shared" si="100"/>
        <v>-</v>
      </c>
    </row>
    <row r="168" spans="1:17" x14ac:dyDescent="0.25">
      <c r="A168" s="989"/>
      <c r="B168" s="576">
        <v>12</v>
      </c>
      <c r="C168" s="576">
        <f t="shared" ref="C168:H168" si="101">P101</f>
        <v>200</v>
      </c>
      <c r="D168" s="576">
        <f t="shared" si="101"/>
        <v>9.9999999999999995E-7</v>
      </c>
      <c r="E168" s="576" t="str">
        <f t="shared" si="101"/>
        <v>-</v>
      </c>
      <c r="F168" s="576">
        <f t="shared" si="101"/>
        <v>0</v>
      </c>
      <c r="G168" s="576">
        <f t="shared" si="101"/>
        <v>0</v>
      </c>
      <c r="H168" s="576" t="str">
        <f t="shared" si="101"/>
        <v>-</v>
      </c>
      <c r="J168" s="989"/>
      <c r="K168" s="576">
        <v>12</v>
      </c>
      <c r="L168" s="578">
        <f t="shared" ref="L168:Q168" si="102">P109</f>
        <v>100</v>
      </c>
      <c r="M168" s="578">
        <f t="shared" si="102"/>
        <v>9.9999999999999995E-7</v>
      </c>
      <c r="N168" s="578" t="str">
        <f t="shared" si="102"/>
        <v>-</v>
      </c>
      <c r="O168" s="578">
        <f t="shared" si="102"/>
        <v>0</v>
      </c>
      <c r="P168" s="578">
        <f t="shared" si="102"/>
        <v>0</v>
      </c>
      <c r="Q168" s="578" t="str">
        <f t="shared" si="102"/>
        <v>-</v>
      </c>
    </row>
    <row r="169" spans="1:17" s="435" customFormat="1" x14ac:dyDescent="0.25">
      <c r="A169" s="34"/>
      <c r="B169" s="34"/>
      <c r="C169" s="34"/>
      <c r="D169" s="34"/>
      <c r="E169" s="34"/>
      <c r="F169" s="455"/>
      <c r="G169" s="34"/>
      <c r="H169" s="34"/>
      <c r="J169" s="34"/>
      <c r="K169" s="34"/>
      <c r="L169" s="43"/>
      <c r="M169" s="43"/>
      <c r="N169" s="43"/>
      <c r="O169" s="455"/>
      <c r="P169" s="43"/>
      <c r="Q169" s="43"/>
    </row>
    <row r="170" spans="1:17" ht="14" x14ac:dyDescent="0.25">
      <c r="A170" s="989" t="s">
        <v>53</v>
      </c>
      <c r="B170" s="571">
        <v>1</v>
      </c>
      <c r="C170" s="571">
        <f t="shared" ref="C170:H170" si="103">B9</f>
        <v>220</v>
      </c>
      <c r="D170" s="571">
        <f t="shared" si="103"/>
        <v>-0.28000000000000003</v>
      </c>
      <c r="E170" s="571">
        <f t="shared" si="103"/>
        <v>-0.18</v>
      </c>
      <c r="F170" s="571">
        <f t="shared" si="103"/>
        <v>0</v>
      </c>
      <c r="G170" s="571">
        <f t="shared" si="103"/>
        <v>5.0000000000000017E-2</v>
      </c>
      <c r="H170" s="571">
        <f t="shared" si="103"/>
        <v>2.64</v>
      </c>
      <c r="J170" s="989" t="s">
        <v>53</v>
      </c>
      <c r="K170" s="571">
        <v>1</v>
      </c>
      <c r="L170" s="578">
        <f t="shared" ref="L170:Q170" si="104">B17</f>
        <v>200</v>
      </c>
      <c r="M170" s="578">
        <f t="shared" si="104"/>
        <v>0.4</v>
      </c>
      <c r="N170" s="578">
        <f t="shared" si="104"/>
        <v>9.9999999999999995E-7</v>
      </c>
      <c r="O170" s="578">
        <f t="shared" si="104"/>
        <v>0</v>
      </c>
      <c r="P170" s="578">
        <f t="shared" si="104"/>
        <v>0.19999950000000002</v>
      </c>
      <c r="Q170" s="578">
        <f t="shared" si="104"/>
        <v>1.18</v>
      </c>
    </row>
    <row r="171" spans="1:17" ht="14" x14ac:dyDescent="0.25">
      <c r="A171" s="989"/>
      <c r="B171" s="571">
        <v>2</v>
      </c>
      <c r="C171" s="574">
        <f t="shared" ref="C171:H171" si="105">I9</f>
        <v>220</v>
      </c>
      <c r="D171" s="574">
        <f t="shared" si="105"/>
        <v>0.05</v>
      </c>
      <c r="E171" s="574">
        <f t="shared" si="105"/>
        <v>-0.03</v>
      </c>
      <c r="F171" s="574">
        <f t="shared" si="105"/>
        <v>0</v>
      </c>
      <c r="G171" s="574">
        <f t="shared" si="105"/>
        <v>0.04</v>
      </c>
      <c r="H171" s="574">
        <f t="shared" si="105"/>
        <v>2.64</v>
      </c>
      <c r="J171" s="989"/>
      <c r="K171" s="571">
        <v>2</v>
      </c>
      <c r="L171" s="578">
        <f t="shared" ref="L171:Q171" si="106">I17</f>
        <v>200</v>
      </c>
      <c r="M171" s="578">
        <f t="shared" si="106"/>
        <v>-0.1</v>
      </c>
      <c r="N171" s="578">
        <f t="shared" si="106"/>
        <v>3.3</v>
      </c>
      <c r="O171" s="578">
        <f t="shared" si="106"/>
        <v>0</v>
      </c>
      <c r="P171" s="578">
        <f t="shared" si="106"/>
        <v>1.7</v>
      </c>
      <c r="Q171" s="578">
        <f t="shared" si="106"/>
        <v>1.18</v>
      </c>
    </row>
    <row r="172" spans="1:17" x14ac:dyDescent="0.25">
      <c r="A172" s="989"/>
      <c r="B172" s="574">
        <v>3</v>
      </c>
      <c r="C172" s="574">
        <f t="shared" ref="C172:H172" si="107">P9</f>
        <v>220</v>
      </c>
      <c r="D172" s="574">
        <f t="shared" si="107"/>
        <v>-2.29</v>
      </c>
      <c r="E172" s="574">
        <f t="shared" si="107"/>
        <v>-3.44</v>
      </c>
      <c r="F172" s="574">
        <f t="shared" si="107"/>
        <v>-0.28999999999999998</v>
      </c>
      <c r="G172" s="574">
        <f t="shared" si="107"/>
        <v>1.575</v>
      </c>
      <c r="H172" s="574">
        <f t="shared" si="107"/>
        <v>2.64</v>
      </c>
      <c r="J172" s="989"/>
      <c r="K172" s="574">
        <v>3</v>
      </c>
      <c r="L172" s="578">
        <f t="shared" ref="L172:Q172" si="108">P17</f>
        <v>200</v>
      </c>
      <c r="M172" s="578">
        <f t="shared" si="108"/>
        <v>-3.6</v>
      </c>
      <c r="N172" s="578">
        <f t="shared" si="108"/>
        <v>-0.1</v>
      </c>
      <c r="O172" s="578">
        <f t="shared" si="108"/>
        <v>3.6</v>
      </c>
      <c r="P172" s="578">
        <f t="shared" si="108"/>
        <v>3.6</v>
      </c>
      <c r="Q172" s="578">
        <f t="shared" si="108"/>
        <v>1.18</v>
      </c>
    </row>
    <row r="173" spans="1:17" x14ac:dyDescent="0.25">
      <c r="A173" s="989"/>
      <c r="B173" s="574">
        <v>4</v>
      </c>
      <c r="C173" s="574">
        <f t="shared" ref="C173:H173" si="109">B40</f>
        <v>220</v>
      </c>
      <c r="D173" s="574">
        <f t="shared" si="109"/>
        <v>9.9999999999999995E-7</v>
      </c>
      <c r="E173" s="574">
        <f t="shared" si="109"/>
        <v>0.1</v>
      </c>
      <c r="F173" s="574">
        <f t="shared" si="109"/>
        <v>0</v>
      </c>
      <c r="G173" s="574">
        <f t="shared" si="109"/>
        <v>4.9999500000000002E-2</v>
      </c>
      <c r="H173" s="574">
        <f t="shared" si="109"/>
        <v>2.64</v>
      </c>
      <c r="J173" s="989"/>
      <c r="K173" s="574">
        <v>4</v>
      </c>
      <c r="L173" s="578">
        <f t="shared" ref="L173:Q173" si="110">B48</f>
        <v>200</v>
      </c>
      <c r="M173" s="578">
        <f t="shared" si="110"/>
        <v>0.3</v>
      </c>
      <c r="N173" s="578">
        <f t="shared" si="110"/>
        <v>0.8</v>
      </c>
      <c r="O173" s="578">
        <f t="shared" si="110"/>
        <v>0</v>
      </c>
      <c r="P173" s="578">
        <f t="shared" si="110"/>
        <v>0.25</v>
      </c>
      <c r="Q173" s="578">
        <f t="shared" si="110"/>
        <v>1.18</v>
      </c>
    </row>
    <row r="174" spans="1:17" x14ac:dyDescent="0.25">
      <c r="A174" s="989"/>
      <c r="B174" s="576">
        <v>5</v>
      </c>
      <c r="C174" s="576">
        <f t="shared" ref="C174:H174" si="111">I40</f>
        <v>220</v>
      </c>
      <c r="D174" s="576">
        <f t="shared" si="111"/>
        <v>0.56000000000000005</v>
      </c>
      <c r="E174" s="576">
        <f t="shared" si="111"/>
        <v>0.38</v>
      </c>
      <c r="F174" s="576">
        <f t="shared" si="111"/>
        <v>0</v>
      </c>
      <c r="G174" s="576">
        <f t="shared" si="111"/>
        <v>9.0000000000000024E-2</v>
      </c>
      <c r="H174" s="576">
        <f t="shared" si="111"/>
        <v>2.64</v>
      </c>
      <c r="J174" s="989"/>
      <c r="K174" s="576">
        <v>5</v>
      </c>
      <c r="L174" s="578">
        <f t="shared" ref="L174:Q174" si="112">I48</f>
        <v>200</v>
      </c>
      <c r="M174" s="578">
        <f t="shared" si="112"/>
        <v>1.3</v>
      </c>
      <c r="N174" s="578">
        <f t="shared" si="112"/>
        <v>1.3</v>
      </c>
      <c r="O174" s="578">
        <f t="shared" si="112"/>
        <v>0</v>
      </c>
      <c r="P174" s="578">
        <f t="shared" si="112"/>
        <v>0</v>
      </c>
      <c r="Q174" s="578">
        <f t="shared" si="112"/>
        <v>1.1599999999999999</v>
      </c>
    </row>
    <row r="175" spans="1:17" x14ac:dyDescent="0.25">
      <c r="A175" s="989"/>
      <c r="B175" s="576">
        <v>6</v>
      </c>
      <c r="C175" s="576">
        <f t="shared" ref="C175:H175" si="113">P40</f>
        <v>220</v>
      </c>
      <c r="D175" s="576">
        <f t="shared" si="113"/>
        <v>7.0000000000000007E-2</v>
      </c>
      <c r="E175" s="576">
        <f t="shared" si="113"/>
        <v>-0.13</v>
      </c>
      <c r="F175" s="576">
        <f t="shared" si="113"/>
        <v>0.05</v>
      </c>
      <c r="G175" s="576">
        <f t="shared" si="113"/>
        <v>0.1</v>
      </c>
      <c r="H175" s="576">
        <f t="shared" si="113"/>
        <v>2.64</v>
      </c>
      <c r="J175" s="989"/>
      <c r="K175" s="576">
        <v>6</v>
      </c>
      <c r="L175" s="578">
        <f t="shared" ref="L175:Q175" si="114">P48</f>
        <v>200</v>
      </c>
      <c r="M175" s="578">
        <f t="shared" si="114"/>
        <v>14.4</v>
      </c>
      <c r="N175" s="578">
        <f t="shared" si="114"/>
        <v>0.8</v>
      </c>
      <c r="O175" s="578">
        <f t="shared" si="114"/>
        <v>0.8</v>
      </c>
      <c r="P175" s="578">
        <f t="shared" si="114"/>
        <v>6.8</v>
      </c>
      <c r="Q175" s="578">
        <f t="shared" si="114"/>
        <v>1.1599999999999999</v>
      </c>
    </row>
    <row r="176" spans="1:17" x14ac:dyDescent="0.25">
      <c r="A176" s="989"/>
      <c r="B176" s="576">
        <v>7</v>
      </c>
      <c r="C176" s="576">
        <f t="shared" ref="C176:H176" si="115">B71</f>
        <v>220</v>
      </c>
      <c r="D176" s="576">
        <f t="shared" si="115"/>
        <v>0.57999999999999996</v>
      </c>
      <c r="E176" s="576">
        <f t="shared" si="115"/>
        <v>0.37</v>
      </c>
      <c r="F176" s="576">
        <f t="shared" si="115"/>
        <v>0.38</v>
      </c>
      <c r="G176" s="576">
        <f t="shared" si="115"/>
        <v>0.10499999999999998</v>
      </c>
      <c r="H176" s="576">
        <f t="shared" si="115"/>
        <v>2.64</v>
      </c>
      <c r="J176" s="989"/>
      <c r="K176" s="576">
        <v>7</v>
      </c>
      <c r="L176" s="578">
        <f t="shared" ref="L176:Q176" si="116">B79</f>
        <v>200</v>
      </c>
      <c r="M176" s="578">
        <f t="shared" si="116"/>
        <v>1.5</v>
      </c>
      <c r="N176" s="578">
        <f t="shared" si="116"/>
        <v>0.4</v>
      </c>
      <c r="O176" s="578">
        <f t="shared" si="116"/>
        <v>2.4</v>
      </c>
      <c r="P176" s="578">
        <f t="shared" si="116"/>
        <v>1</v>
      </c>
      <c r="Q176" s="578">
        <f t="shared" si="116"/>
        <v>1.18</v>
      </c>
    </row>
    <row r="177" spans="1:17" x14ac:dyDescent="0.25">
      <c r="A177" s="989"/>
      <c r="B177" s="576">
        <v>8</v>
      </c>
      <c r="C177" s="576">
        <f t="shared" ref="C177:H177" si="117">I71</f>
        <v>220</v>
      </c>
      <c r="D177" s="576">
        <f t="shared" si="117"/>
        <v>-0.16</v>
      </c>
      <c r="E177" s="576">
        <f t="shared" si="117"/>
        <v>-0.45</v>
      </c>
      <c r="F177" s="576">
        <f t="shared" si="117"/>
        <v>0</v>
      </c>
      <c r="G177" s="576">
        <f t="shared" si="117"/>
        <v>0.14500000000000002</v>
      </c>
      <c r="H177" s="576">
        <f t="shared" si="117"/>
        <v>2.64</v>
      </c>
      <c r="J177" s="989"/>
      <c r="K177" s="576">
        <v>8</v>
      </c>
      <c r="L177" s="578">
        <f t="shared" ref="L177:Q177" si="118">I79</f>
        <v>200</v>
      </c>
      <c r="M177" s="578">
        <f t="shared" si="118"/>
        <v>-8.1999999999999993</v>
      </c>
      <c r="N177" s="578">
        <f t="shared" si="118"/>
        <v>3.7</v>
      </c>
      <c r="O177" s="578">
        <f t="shared" si="118"/>
        <v>0</v>
      </c>
      <c r="P177" s="578">
        <f t="shared" si="118"/>
        <v>5.9499999999999993</v>
      </c>
      <c r="Q177" s="578">
        <f t="shared" si="118"/>
        <v>1.18</v>
      </c>
    </row>
    <row r="178" spans="1:17" x14ac:dyDescent="0.25">
      <c r="A178" s="989"/>
      <c r="B178" s="576">
        <v>9</v>
      </c>
      <c r="C178" s="576">
        <f t="shared" ref="C178:H178" si="119">P71</f>
        <v>220</v>
      </c>
      <c r="D178" s="576">
        <f t="shared" si="119"/>
        <v>-0.28999999999999998</v>
      </c>
      <c r="E178" s="576">
        <f t="shared" si="119"/>
        <v>-0.39</v>
      </c>
      <c r="F178" s="576">
        <f t="shared" si="119"/>
        <v>0</v>
      </c>
      <c r="G178" s="576">
        <f t="shared" si="119"/>
        <v>5.0000000000000017E-2</v>
      </c>
      <c r="H178" s="576">
        <f t="shared" si="119"/>
        <v>2.64</v>
      </c>
      <c r="J178" s="989"/>
      <c r="K178" s="576">
        <v>9</v>
      </c>
      <c r="L178" s="578">
        <f t="shared" ref="L178:Q178" si="120">P79</f>
        <v>200</v>
      </c>
      <c r="M178" s="578">
        <f t="shared" si="120"/>
        <v>-0.2</v>
      </c>
      <c r="N178" s="578">
        <f t="shared" si="120"/>
        <v>3.4</v>
      </c>
      <c r="O178" s="578">
        <f t="shared" si="120"/>
        <v>0</v>
      </c>
      <c r="P178" s="578">
        <f t="shared" si="120"/>
        <v>1.8</v>
      </c>
      <c r="Q178" s="578">
        <f t="shared" si="120"/>
        <v>1.18</v>
      </c>
    </row>
    <row r="179" spans="1:17" x14ac:dyDescent="0.25">
      <c r="A179" s="989"/>
      <c r="B179" s="576">
        <v>10</v>
      </c>
      <c r="C179" s="576">
        <f t="shared" ref="C179:H179" si="121">B102</f>
        <v>220</v>
      </c>
      <c r="D179" s="576">
        <f t="shared" si="121"/>
        <v>9.9999999999999995E-7</v>
      </c>
      <c r="E179" s="576" t="str">
        <f t="shared" si="121"/>
        <v>-</v>
      </c>
      <c r="F179" s="576">
        <f t="shared" si="121"/>
        <v>0</v>
      </c>
      <c r="G179" s="576">
        <f t="shared" si="121"/>
        <v>0</v>
      </c>
      <c r="H179" s="576" t="str">
        <f t="shared" si="121"/>
        <v>-</v>
      </c>
      <c r="J179" s="989"/>
      <c r="K179" s="576">
        <v>10</v>
      </c>
      <c r="L179" s="578">
        <f t="shared" ref="L179:Q179" si="122">B110</f>
        <v>200</v>
      </c>
      <c r="M179" s="578">
        <f t="shared" si="122"/>
        <v>0.4</v>
      </c>
      <c r="N179" s="578" t="str">
        <f t="shared" si="122"/>
        <v>-</v>
      </c>
      <c r="O179" s="578">
        <f t="shared" si="122"/>
        <v>0</v>
      </c>
      <c r="P179" s="578">
        <f t="shared" si="122"/>
        <v>0</v>
      </c>
      <c r="Q179" s="578" t="str">
        <f t="shared" si="122"/>
        <v>-</v>
      </c>
    </row>
    <row r="180" spans="1:17" x14ac:dyDescent="0.25">
      <c r="A180" s="989"/>
      <c r="B180" s="576">
        <v>11</v>
      </c>
      <c r="C180" s="576">
        <f t="shared" ref="C180:H180" si="123">I102</f>
        <v>220</v>
      </c>
      <c r="D180" s="576">
        <f t="shared" si="123"/>
        <v>9.9999999999999995E-7</v>
      </c>
      <c r="E180" s="576" t="str">
        <f t="shared" si="123"/>
        <v>-</v>
      </c>
      <c r="F180" s="576">
        <f t="shared" si="123"/>
        <v>0</v>
      </c>
      <c r="G180" s="576">
        <f t="shared" si="123"/>
        <v>0</v>
      </c>
      <c r="H180" s="576" t="str">
        <f t="shared" si="123"/>
        <v>-</v>
      </c>
      <c r="J180" s="989"/>
      <c r="K180" s="576">
        <v>11</v>
      </c>
      <c r="L180" s="578">
        <f t="shared" ref="L180:Q180" si="124">I110</f>
        <v>200</v>
      </c>
      <c r="M180" s="578">
        <f t="shared" si="124"/>
        <v>9.9999999999999995E-7</v>
      </c>
      <c r="N180" s="578" t="str">
        <f t="shared" si="124"/>
        <v>-</v>
      </c>
      <c r="O180" s="578">
        <f t="shared" si="124"/>
        <v>0</v>
      </c>
      <c r="P180" s="578">
        <f t="shared" si="124"/>
        <v>0</v>
      </c>
      <c r="Q180" s="578" t="str">
        <f t="shared" si="124"/>
        <v>-</v>
      </c>
    </row>
    <row r="181" spans="1:17" x14ac:dyDescent="0.25">
      <c r="A181" s="989"/>
      <c r="B181" s="576">
        <v>12</v>
      </c>
      <c r="C181" s="576">
        <f t="shared" ref="C181:H181" si="125">P102</f>
        <v>220</v>
      </c>
      <c r="D181" s="576">
        <f t="shared" si="125"/>
        <v>9.9999999999999995E-7</v>
      </c>
      <c r="E181" s="576" t="str">
        <f t="shared" si="125"/>
        <v>-</v>
      </c>
      <c r="F181" s="576">
        <f t="shared" si="125"/>
        <v>0</v>
      </c>
      <c r="G181" s="576">
        <f t="shared" si="125"/>
        <v>0</v>
      </c>
      <c r="H181" s="576" t="str">
        <f t="shared" si="125"/>
        <v>-</v>
      </c>
      <c r="J181" s="989"/>
      <c r="K181" s="576">
        <v>12</v>
      </c>
      <c r="L181" s="578">
        <f t="shared" ref="L181:Q181" si="126">P110</f>
        <v>200</v>
      </c>
      <c r="M181" s="578">
        <f t="shared" si="126"/>
        <v>9.9999999999999995E-7</v>
      </c>
      <c r="N181" s="578" t="str">
        <f t="shared" si="126"/>
        <v>-</v>
      </c>
      <c r="O181" s="578">
        <f t="shared" si="126"/>
        <v>0</v>
      </c>
      <c r="P181" s="578">
        <f t="shared" si="126"/>
        <v>0</v>
      </c>
      <c r="Q181" s="578" t="str">
        <f t="shared" si="126"/>
        <v>-</v>
      </c>
    </row>
    <row r="182" spans="1:17" s="435" customFormat="1" x14ac:dyDescent="0.25">
      <c r="A182" s="34"/>
      <c r="B182" s="34"/>
      <c r="C182" s="34"/>
      <c r="D182" s="34"/>
      <c r="E182" s="34"/>
      <c r="F182" s="455"/>
      <c r="G182" s="34"/>
      <c r="H182" s="34"/>
      <c r="J182" s="34"/>
      <c r="K182" s="34"/>
      <c r="L182" s="43"/>
      <c r="M182" s="43"/>
      <c r="N182" s="43"/>
      <c r="O182" s="455"/>
      <c r="P182" s="43"/>
      <c r="Q182" s="43"/>
    </row>
    <row r="183" spans="1:17" ht="14" x14ac:dyDescent="0.25">
      <c r="A183" s="989" t="s">
        <v>54</v>
      </c>
      <c r="B183" s="571">
        <v>1</v>
      </c>
      <c r="C183" s="571">
        <f t="shared" ref="C183:H183" si="127">B10</f>
        <v>230</v>
      </c>
      <c r="D183" s="571">
        <f t="shared" si="127"/>
        <v>-0.2</v>
      </c>
      <c r="E183" s="571">
        <f t="shared" si="127"/>
        <v>-0.26</v>
      </c>
      <c r="F183" s="571">
        <f t="shared" si="127"/>
        <v>0</v>
      </c>
      <c r="G183" s="571">
        <f t="shared" si="127"/>
        <v>0.03</v>
      </c>
      <c r="H183" s="571">
        <f t="shared" si="127"/>
        <v>2.7600000000000002</v>
      </c>
      <c r="J183" s="989" t="s">
        <v>54</v>
      </c>
      <c r="K183" s="571">
        <v>1</v>
      </c>
      <c r="L183" s="578">
        <f t="shared" ref="L183:Q183" si="128">B18</f>
        <v>500</v>
      </c>
      <c r="M183" s="578">
        <f t="shared" si="128"/>
        <v>3.8</v>
      </c>
      <c r="N183" s="578">
        <f t="shared" si="128"/>
        <v>-0.9</v>
      </c>
      <c r="O183" s="578">
        <f t="shared" si="128"/>
        <v>0</v>
      </c>
      <c r="P183" s="578">
        <f t="shared" si="128"/>
        <v>2.35</v>
      </c>
      <c r="Q183" s="578">
        <f t="shared" si="128"/>
        <v>2.9499999999999997</v>
      </c>
    </row>
    <row r="184" spans="1:17" ht="14" x14ac:dyDescent="0.25">
      <c r="A184" s="989"/>
      <c r="B184" s="571">
        <v>2</v>
      </c>
      <c r="C184" s="574">
        <f t="shared" ref="C184:H184" si="129">I10</f>
        <v>230</v>
      </c>
      <c r="D184" s="574">
        <f t="shared" si="129"/>
        <v>9.9999999999999995E-7</v>
      </c>
      <c r="E184" s="574">
        <f t="shared" si="129"/>
        <v>0.05</v>
      </c>
      <c r="F184" s="574">
        <f t="shared" si="129"/>
        <v>0</v>
      </c>
      <c r="G184" s="574">
        <f t="shared" si="129"/>
        <v>2.4999500000000001E-2</v>
      </c>
      <c r="H184" s="574">
        <f t="shared" si="129"/>
        <v>2.7600000000000002</v>
      </c>
      <c r="J184" s="989"/>
      <c r="K184" s="571">
        <v>2</v>
      </c>
      <c r="L184" s="578">
        <f t="shared" ref="L184:Q184" si="130">I18</f>
        <v>500</v>
      </c>
      <c r="M184" s="578">
        <f t="shared" si="130"/>
        <v>0.8</v>
      </c>
      <c r="N184" s="578">
        <f t="shared" si="130"/>
        <v>2</v>
      </c>
      <c r="O184" s="578">
        <f t="shared" si="130"/>
        <v>0</v>
      </c>
      <c r="P184" s="578">
        <f t="shared" si="130"/>
        <v>0.6</v>
      </c>
      <c r="Q184" s="578">
        <f t="shared" si="130"/>
        <v>2.9499999999999997</v>
      </c>
    </row>
    <row r="185" spans="1:17" x14ac:dyDescent="0.25">
      <c r="A185" s="989"/>
      <c r="B185" s="574">
        <v>3</v>
      </c>
      <c r="C185" s="574">
        <f t="shared" ref="C185:H185" si="131">P10</f>
        <v>230</v>
      </c>
      <c r="D185" s="574">
        <f t="shared" si="131"/>
        <v>-11.79</v>
      </c>
      <c r="E185" s="574">
        <f t="shared" si="131"/>
        <v>-2.52</v>
      </c>
      <c r="F185" s="574">
        <f t="shared" si="131"/>
        <v>-0.23</v>
      </c>
      <c r="G185" s="574">
        <f t="shared" si="131"/>
        <v>5.7799999999999994</v>
      </c>
      <c r="H185" s="574">
        <f t="shared" si="131"/>
        <v>2.7600000000000002</v>
      </c>
      <c r="J185" s="989"/>
      <c r="K185" s="574">
        <v>3</v>
      </c>
      <c r="L185" s="578">
        <f t="shared" ref="L185:Q185" si="132">P18</f>
        <v>500</v>
      </c>
      <c r="M185" s="578">
        <f t="shared" si="132"/>
        <v>-18.8</v>
      </c>
      <c r="N185" s="578">
        <f t="shared" si="132"/>
        <v>-1.1000000000000001</v>
      </c>
      <c r="O185" s="578">
        <f t="shared" si="132"/>
        <v>2.9</v>
      </c>
      <c r="P185" s="578">
        <f t="shared" si="132"/>
        <v>10.85</v>
      </c>
      <c r="Q185" s="578">
        <f t="shared" si="132"/>
        <v>2.9499999999999997</v>
      </c>
    </row>
    <row r="186" spans="1:17" x14ac:dyDescent="0.25">
      <c r="A186" s="989"/>
      <c r="B186" s="574">
        <v>4</v>
      </c>
      <c r="C186" s="574">
        <f t="shared" ref="C186:H186" si="133">B41</f>
        <v>230</v>
      </c>
      <c r="D186" s="574">
        <f t="shared" si="133"/>
        <v>-0.11</v>
      </c>
      <c r="E186" s="574">
        <f t="shared" si="133"/>
        <v>1.1100000000000001</v>
      </c>
      <c r="F186" s="574">
        <f t="shared" si="133"/>
        <v>0</v>
      </c>
      <c r="G186" s="574">
        <f t="shared" si="133"/>
        <v>0.6100000000000001</v>
      </c>
      <c r="H186" s="574">
        <f t="shared" si="133"/>
        <v>2.7600000000000002</v>
      </c>
      <c r="J186" s="989"/>
      <c r="K186" s="574">
        <v>4</v>
      </c>
      <c r="L186" s="578">
        <f t="shared" ref="L186:Q186" si="134">B49</f>
        <v>500</v>
      </c>
      <c r="M186" s="578">
        <f t="shared" si="134"/>
        <v>0.2</v>
      </c>
      <c r="N186" s="578">
        <f t="shared" si="134"/>
        <v>1.2</v>
      </c>
      <c r="O186" s="578">
        <f t="shared" si="134"/>
        <v>0</v>
      </c>
      <c r="P186" s="578">
        <f t="shared" si="134"/>
        <v>0.5</v>
      </c>
      <c r="Q186" s="578">
        <f t="shared" si="134"/>
        <v>2.9499999999999997</v>
      </c>
    </row>
    <row r="187" spans="1:17" x14ac:dyDescent="0.25">
      <c r="A187" s="989"/>
      <c r="B187" s="576">
        <v>5</v>
      </c>
      <c r="C187" s="576">
        <f t="shared" ref="C187:H187" si="135">I41</f>
        <v>230</v>
      </c>
      <c r="D187" s="576">
        <f t="shared" si="135"/>
        <v>0.73</v>
      </c>
      <c r="E187" s="576">
        <f t="shared" si="135"/>
        <v>-0.16</v>
      </c>
      <c r="F187" s="576">
        <f t="shared" si="135"/>
        <v>0</v>
      </c>
      <c r="G187" s="576">
        <f t="shared" si="135"/>
        <v>0.44500000000000001</v>
      </c>
      <c r="H187" s="576">
        <f t="shared" si="135"/>
        <v>2.7600000000000002</v>
      </c>
      <c r="J187" s="989"/>
      <c r="K187" s="576">
        <v>5</v>
      </c>
      <c r="L187" s="578">
        <f t="shared" ref="L187:Q187" si="136">I49</f>
        <v>500</v>
      </c>
      <c r="M187" s="578">
        <f t="shared" si="136"/>
        <v>0.7</v>
      </c>
      <c r="N187" s="578">
        <f t="shared" si="136"/>
        <v>0.7</v>
      </c>
      <c r="O187" s="578">
        <f t="shared" si="136"/>
        <v>0</v>
      </c>
      <c r="P187" s="578">
        <f t="shared" si="136"/>
        <v>0</v>
      </c>
      <c r="Q187" s="578">
        <f t="shared" si="136"/>
        <v>2.9</v>
      </c>
    </row>
    <row r="188" spans="1:17" x14ac:dyDescent="0.25">
      <c r="A188" s="989"/>
      <c r="B188" s="576">
        <v>6</v>
      </c>
      <c r="C188" s="576">
        <f t="shared" ref="C188:H188" si="137">P41</f>
        <v>230</v>
      </c>
      <c r="D188" s="576">
        <f t="shared" si="137"/>
        <v>0.08</v>
      </c>
      <c r="E188" s="576">
        <f t="shared" si="137"/>
        <v>-0.15</v>
      </c>
      <c r="F188" s="576">
        <f t="shared" si="137"/>
        <v>-0.05</v>
      </c>
      <c r="G188" s="576">
        <f t="shared" si="137"/>
        <v>0.11499999999999999</v>
      </c>
      <c r="H188" s="576">
        <f t="shared" si="137"/>
        <v>2.7600000000000002</v>
      </c>
      <c r="J188" s="989"/>
      <c r="K188" s="576">
        <v>6</v>
      </c>
      <c r="L188" s="578">
        <f t="shared" ref="L188:Q188" si="138">P49</f>
        <v>500</v>
      </c>
      <c r="M188" s="578">
        <f t="shared" si="138"/>
        <v>6.2</v>
      </c>
      <c r="N188" s="578">
        <f t="shared" si="138"/>
        <v>1.1000000000000001</v>
      </c>
      <c r="O188" s="578">
        <f t="shared" si="138"/>
        <v>0.6</v>
      </c>
      <c r="P188" s="578">
        <f t="shared" si="138"/>
        <v>2.8000000000000003</v>
      </c>
      <c r="Q188" s="578">
        <f t="shared" si="138"/>
        <v>2.9</v>
      </c>
    </row>
    <row r="189" spans="1:17" x14ac:dyDescent="0.25">
      <c r="A189" s="989"/>
      <c r="B189" s="576">
        <v>7</v>
      </c>
      <c r="C189" s="576">
        <f t="shared" ref="C189:H189" si="139">B72</f>
        <v>230</v>
      </c>
      <c r="D189" s="576">
        <f t="shared" si="139"/>
        <v>0.47</v>
      </c>
      <c r="E189" s="576">
        <f t="shared" si="139"/>
        <v>0.47</v>
      </c>
      <c r="F189" s="576">
        <f t="shared" si="139"/>
        <v>0.4</v>
      </c>
      <c r="G189" s="576">
        <f t="shared" si="139"/>
        <v>3.4999999999999976E-2</v>
      </c>
      <c r="H189" s="576">
        <f t="shared" si="139"/>
        <v>2.7600000000000002</v>
      </c>
      <c r="J189" s="989"/>
      <c r="K189" s="576">
        <v>7</v>
      </c>
      <c r="L189" s="578">
        <f t="shared" ref="L189:Q189" si="140">B80</f>
        <v>500</v>
      </c>
      <c r="M189" s="578">
        <f t="shared" si="140"/>
        <v>0.9</v>
      </c>
      <c r="N189" s="578">
        <f t="shared" si="140"/>
        <v>3</v>
      </c>
      <c r="O189" s="578">
        <f t="shared" si="140"/>
        <v>3.3</v>
      </c>
      <c r="P189" s="578">
        <f t="shared" si="140"/>
        <v>1.2</v>
      </c>
      <c r="Q189" s="578">
        <f t="shared" si="140"/>
        <v>2.9499999999999997</v>
      </c>
    </row>
    <row r="190" spans="1:17" x14ac:dyDescent="0.25">
      <c r="A190" s="989"/>
      <c r="B190" s="576">
        <v>8</v>
      </c>
      <c r="C190" s="576">
        <f t="shared" ref="C190:H190" si="141">I72</f>
        <v>230</v>
      </c>
      <c r="D190" s="576">
        <f t="shared" si="141"/>
        <v>-0.15</v>
      </c>
      <c r="E190" s="576">
        <f t="shared" si="141"/>
        <v>-0.54</v>
      </c>
      <c r="F190" s="576">
        <f t="shared" si="141"/>
        <v>0</v>
      </c>
      <c r="G190" s="576">
        <f t="shared" si="141"/>
        <v>0.19500000000000001</v>
      </c>
      <c r="H190" s="576">
        <f t="shared" si="141"/>
        <v>2.7600000000000002</v>
      </c>
      <c r="J190" s="989"/>
      <c r="K190" s="576">
        <v>8</v>
      </c>
      <c r="L190" s="578">
        <f t="shared" ref="L190:Q190" si="142">I80</f>
        <v>500</v>
      </c>
      <c r="M190" s="578">
        <f t="shared" si="142"/>
        <v>-31.8</v>
      </c>
      <c r="N190" s="578">
        <f t="shared" si="142"/>
        <v>8.3000000000000007</v>
      </c>
      <c r="O190" s="578">
        <f t="shared" si="142"/>
        <v>0</v>
      </c>
      <c r="P190" s="578">
        <f t="shared" si="142"/>
        <v>20.05</v>
      </c>
      <c r="Q190" s="578">
        <f t="shared" si="142"/>
        <v>2.9499999999999997</v>
      </c>
    </row>
    <row r="191" spans="1:17" x14ac:dyDescent="0.25">
      <c r="A191" s="989"/>
      <c r="B191" s="576">
        <v>9</v>
      </c>
      <c r="C191" s="576">
        <f t="shared" ref="C191:H191" si="143">P72</f>
        <v>230</v>
      </c>
      <c r="D191" s="576">
        <f t="shared" si="143"/>
        <v>-0.34</v>
      </c>
      <c r="E191" s="576">
        <f t="shared" si="143"/>
        <v>-0.39</v>
      </c>
      <c r="F191" s="576">
        <f t="shared" si="143"/>
        <v>0</v>
      </c>
      <c r="G191" s="576">
        <f t="shared" si="143"/>
        <v>2.4999999999999994E-2</v>
      </c>
      <c r="H191" s="576">
        <f t="shared" si="143"/>
        <v>2.7600000000000002</v>
      </c>
      <c r="J191" s="989"/>
      <c r="K191" s="576">
        <v>9</v>
      </c>
      <c r="L191" s="578">
        <f t="shared" ref="L191:Q191" si="144">P80</f>
        <v>500</v>
      </c>
      <c r="M191" s="578">
        <f t="shared" si="144"/>
        <v>-25.1</v>
      </c>
      <c r="N191" s="578">
        <f t="shared" si="144"/>
        <v>7.2</v>
      </c>
      <c r="O191" s="578">
        <f t="shared" si="144"/>
        <v>0</v>
      </c>
      <c r="P191" s="578">
        <f t="shared" si="144"/>
        <v>16.150000000000002</v>
      </c>
      <c r="Q191" s="578">
        <f t="shared" si="144"/>
        <v>2.9499999999999997</v>
      </c>
    </row>
    <row r="192" spans="1:17" x14ac:dyDescent="0.25">
      <c r="A192" s="989"/>
      <c r="B192" s="576">
        <v>10</v>
      </c>
      <c r="C192" s="576">
        <f t="shared" ref="C192:H192" si="145">B103</f>
        <v>230</v>
      </c>
      <c r="D192" s="576">
        <f t="shared" si="145"/>
        <v>-0.11</v>
      </c>
      <c r="E192" s="576" t="str">
        <f t="shared" si="145"/>
        <v>-</v>
      </c>
      <c r="F192" s="576">
        <f t="shared" si="145"/>
        <v>0</v>
      </c>
      <c r="G192" s="576">
        <f t="shared" si="145"/>
        <v>0</v>
      </c>
      <c r="H192" s="576" t="str">
        <f t="shared" si="145"/>
        <v>-</v>
      </c>
      <c r="J192" s="989"/>
      <c r="K192" s="576">
        <v>10</v>
      </c>
      <c r="L192" s="578">
        <f t="shared" ref="L192:Q192" si="146">B111</f>
        <v>500</v>
      </c>
      <c r="M192" s="578">
        <f t="shared" si="146"/>
        <v>1.5</v>
      </c>
      <c r="N192" s="578" t="str">
        <f t="shared" si="146"/>
        <v>-</v>
      </c>
      <c r="O192" s="578">
        <f t="shared" si="146"/>
        <v>0</v>
      </c>
      <c r="P192" s="578">
        <f t="shared" si="146"/>
        <v>0</v>
      </c>
      <c r="Q192" s="578" t="str">
        <f t="shared" si="146"/>
        <v>-</v>
      </c>
    </row>
    <row r="193" spans="1:17" x14ac:dyDescent="0.25">
      <c r="A193" s="989"/>
      <c r="B193" s="576">
        <v>11</v>
      </c>
      <c r="C193" s="576">
        <f t="shared" ref="C193:H193" si="147">I103</f>
        <v>230</v>
      </c>
      <c r="D193" s="576">
        <f t="shared" si="147"/>
        <v>9.9999999999999995E-7</v>
      </c>
      <c r="E193" s="576" t="str">
        <f t="shared" si="147"/>
        <v>-</v>
      </c>
      <c r="F193" s="576">
        <f t="shared" si="147"/>
        <v>0</v>
      </c>
      <c r="G193" s="576">
        <f t="shared" si="147"/>
        <v>0</v>
      </c>
      <c r="H193" s="576" t="str">
        <f t="shared" si="147"/>
        <v>-</v>
      </c>
      <c r="J193" s="989"/>
      <c r="K193" s="576">
        <v>11</v>
      </c>
      <c r="L193" s="578">
        <f t="shared" ref="L193:Q193" si="148">I111</f>
        <v>500</v>
      </c>
      <c r="M193" s="578">
        <f t="shared" si="148"/>
        <v>9.9999999999999995E-7</v>
      </c>
      <c r="N193" s="578" t="str">
        <f t="shared" si="148"/>
        <v>-</v>
      </c>
      <c r="O193" s="578">
        <f t="shared" si="148"/>
        <v>0</v>
      </c>
      <c r="P193" s="578">
        <f t="shared" si="148"/>
        <v>0</v>
      </c>
      <c r="Q193" s="578" t="str">
        <f t="shared" si="148"/>
        <v>-</v>
      </c>
    </row>
    <row r="194" spans="1:17" x14ac:dyDescent="0.25">
      <c r="A194" s="989"/>
      <c r="B194" s="576">
        <v>12</v>
      </c>
      <c r="C194" s="576">
        <f t="shared" ref="C194:H194" si="149">P103</f>
        <v>230</v>
      </c>
      <c r="D194" s="576">
        <f t="shared" si="149"/>
        <v>9.9999999999999995E-7</v>
      </c>
      <c r="E194" s="576" t="str">
        <f t="shared" si="149"/>
        <v>-</v>
      </c>
      <c r="F194" s="576">
        <f t="shared" si="149"/>
        <v>0</v>
      </c>
      <c r="G194" s="576">
        <f t="shared" si="149"/>
        <v>0</v>
      </c>
      <c r="H194" s="576" t="str">
        <f t="shared" si="149"/>
        <v>-</v>
      </c>
      <c r="J194" s="989"/>
      <c r="K194" s="576">
        <v>12</v>
      </c>
      <c r="L194" s="578">
        <f t="shared" ref="L194:Q194" si="150">P111</f>
        <v>500</v>
      </c>
      <c r="M194" s="578">
        <f t="shared" si="150"/>
        <v>9.9999999999999995E-7</v>
      </c>
      <c r="N194" s="578" t="str">
        <f t="shared" si="150"/>
        <v>-</v>
      </c>
      <c r="O194" s="578">
        <f t="shared" si="150"/>
        <v>0</v>
      </c>
      <c r="P194" s="578">
        <f t="shared" si="150"/>
        <v>0</v>
      </c>
      <c r="Q194" s="578" t="str">
        <f t="shared" si="150"/>
        <v>-</v>
      </c>
    </row>
    <row r="195" spans="1:17" s="435" customFormat="1" x14ac:dyDescent="0.25">
      <c r="A195" s="34"/>
      <c r="B195" s="34"/>
      <c r="C195" s="34"/>
      <c r="D195" s="34"/>
      <c r="E195" s="34"/>
      <c r="F195" s="455"/>
      <c r="G195" s="34"/>
      <c r="H195" s="34"/>
      <c r="J195" s="34"/>
      <c r="K195" s="34"/>
      <c r="L195" s="43"/>
      <c r="M195" s="43"/>
      <c r="N195" s="43"/>
      <c r="O195" s="455"/>
      <c r="P195" s="43"/>
      <c r="Q195" s="43"/>
    </row>
    <row r="196" spans="1:17" ht="14" x14ac:dyDescent="0.25">
      <c r="A196" s="989" t="s">
        <v>55</v>
      </c>
      <c r="B196" s="571">
        <v>1</v>
      </c>
      <c r="C196" s="571">
        <f t="shared" ref="C196:H196" si="151">B11</f>
        <v>250</v>
      </c>
      <c r="D196" s="571">
        <f t="shared" si="151"/>
        <v>-0.32</v>
      </c>
      <c r="E196" s="571">
        <f t="shared" si="151"/>
        <v>9.9999999999999995E-7</v>
      </c>
      <c r="F196" s="571">
        <f t="shared" si="151"/>
        <v>0</v>
      </c>
      <c r="G196" s="571">
        <f t="shared" si="151"/>
        <v>0.16000049999999999</v>
      </c>
      <c r="H196" s="571">
        <f t="shared" si="151"/>
        <v>3</v>
      </c>
      <c r="J196" s="989" t="s">
        <v>55</v>
      </c>
      <c r="K196" s="571">
        <v>1</v>
      </c>
      <c r="L196" s="578">
        <f t="shared" ref="L196:Q196" si="152">B19</f>
        <v>1000</v>
      </c>
      <c r="M196" s="578">
        <f t="shared" si="152"/>
        <v>9.9999999999999995E-7</v>
      </c>
      <c r="N196" s="578">
        <f t="shared" si="152"/>
        <v>9.9999999999999995E-7</v>
      </c>
      <c r="O196" s="578">
        <f t="shared" si="152"/>
        <v>0</v>
      </c>
      <c r="P196" s="578">
        <f t="shared" si="152"/>
        <v>0</v>
      </c>
      <c r="Q196" s="578">
        <f t="shared" si="152"/>
        <v>2.95</v>
      </c>
    </row>
    <row r="197" spans="1:17" ht="14" x14ac:dyDescent="0.25">
      <c r="A197" s="989"/>
      <c r="B197" s="571">
        <v>2</v>
      </c>
      <c r="C197" s="574">
        <f t="shared" ref="C197:H197" si="153">I11</f>
        <v>250</v>
      </c>
      <c r="D197" s="574">
        <f t="shared" si="153"/>
        <v>9.9999999999999995E-7</v>
      </c>
      <c r="E197" s="574">
        <f t="shared" si="153"/>
        <v>9.9999999999999995E-7</v>
      </c>
      <c r="F197" s="574">
        <f t="shared" si="153"/>
        <v>0</v>
      </c>
      <c r="G197" s="574">
        <f t="shared" si="153"/>
        <v>0</v>
      </c>
      <c r="H197" s="574">
        <f t="shared" si="153"/>
        <v>2.76</v>
      </c>
      <c r="J197" s="989"/>
      <c r="K197" s="571">
        <v>2</v>
      </c>
      <c r="L197" s="578">
        <f t="shared" ref="L197:Q197" si="154">I19</f>
        <v>1000</v>
      </c>
      <c r="M197" s="578">
        <f t="shared" si="154"/>
        <v>9.9999999999999995E-7</v>
      </c>
      <c r="N197" s="578">
        <f t="shared" si="154"/>
        <v>9.9999999999999995E-7</v>
      </c>
      <c r="O197" s="578">
        <f t="shared" si="154"/>
        <v>0</v>
      </c>
      <c r="P197" s="578">
        <f t="shared" si="154"/>
        <v>0</v>
      </c>
      <c r="Q197" s="578">
        <f t="shared" si="154"/>
        <v>2.95</v>
      </c>
    </row>
    <row r="198" spans="1:17" x14ac:dyDescent="0.25">
      <c r="A198" s="989"/>
      <c r="B198" s="574">
        <v>3</v>
      </c>
      <c r="C198" s="574">
        <f t="shared" ref="C198:H198" si="155">P11</f>
        <v>250</v>
      </c>
      <c r="D198" s="574">
        <f t="shared" si="155"/>
        <v>9.9999999999999995E-7</v>
      </c>
      <c r="E198" s="574">
        <f t="shared" si="155"/>
        <v>9.9999999999999995E-7</v>
      </c>
      <c r="F198" s="574">
        <f t="shared" si="155"/>
        <v>9.9999999999999995E-7</v>
      </c>
      <c r="G198" s="574">
        <f t="shared" si="155"/>
        <v>0</v>
      </c>
      <c r="H198" s="574">
        <f t="shared" si="155"/>
        <v>3</v>
      </c>
      <c r="J198" s="989"/>
      <c r="K198" s="574">
        <v>3</v>
      </c>
      <c r="L198" s="578">
        <f t="shared" ref="L198:Q198" si="156">P19</f>
        <v>1000</v>
      </c>
      <c r="M198" s="578">
        <f t="shared" si="156"/>
        <v>-47</v>
      </c>
      <c r="N198" s="578">
        <f t="shared" si="156"/>
        <v>3</v>
      </c>
      <c r="O198" s="578">
        <f t="shared" si="156"/>
        <v>3</v>
      </c>
      <c r="P198" s="578">
        <f t="shared" si="156"/>
        <v>25</v>
      </c>
      <c r="Q198" s="578">
        <f t="shared" si="156"/>
        <v>5.8999999999999995</v>
      </c>
    </row>
    <row r="199" spans="1:17" x14ac:dyDescent="0.25">
      <c r="A199" s="989"/>
      <c r="B199" s="574">
        <v>4</v>
      </c>
      <c r="C199" s="574">
        <f t="shared" ref="C199:H199" si="157">B42</f>
        <v>250</v>
      </c>
      <c r="D199" s="574">
        <f t="shared" si="157"/>
        <v>9.9999999999999995E-7</v>
      </c>
      <c r="E199" s="574">
        <f t="shared" si="157"/>
        <v>9.9999999999999995E-7</v>
      </c>
      <c r="F199" s="574">
        <f t="shared" si="157"/>
        <v>0</v>
      </c>
      <c r="G199" s="574">
        <f t="shared" si="157"/>
        <v>0</v>
      </c>
      <c r="H199" s="574">
        <f t="shared" si="157"/>
        <v>2.76</v>
      </c>
      <c r="J199" s="989"/>
      <c r="K199" s="574">
        <v>4</v>
      </c>
      <c r="L199" s="578">
        <f t="shared" ref="L199:Q199" si="158">B50</f>
        <v>1000</v>
      </c>
      <c r="M199" s="578">
        <f t="shared" si="158"/>
        <v>2</v>
      </c>
      <c r="N199" s="578">
        <f t="shared" si="158"/>
        <v>2</v>
      </c>
      <c r="O199" s="578">
        <f t="shared" si="158"/>
        <v>0</v>
      </c>
      <c r="P199" s="578">
        <f t="shared" si="158"/>
        <v>0</v>
      </c>
      <c r="Q199" s="578">
        <f t="shared" si="158"/>
        <v>0</v>
      </c>
    </row>
    <row r="200" spans="1:17" x14ac:dyDescent="0.25">
      <c r="A200" s="989"/>
      <c r="B200" s="576">
        <v>5</v>
      </c>
      <c r="C200" s="576">
        <f t="shared" ref="C200:H200" si="159">I42</f>
        <v>250</v>
      </c>
      <c r="D200" s="576">
        <f t="shared" si="159"/>
        <v>9.9999999999999995E-7</v>
      </c>
      <c r="E200" s="576">
        <f t="shared" si="159"/>
        <v>9.9999999999999995E-7</v>
      </c>
      <c r="F200" s="576">
        <f t="shared" si="159"/>
        <v>0</v>
      </c>
      <c r="G200" s="576">
        <f t="shared" si="159"/>
        <v>0</v>
      </c>
      <c r="H200" s="576">
        <f t="shared" si="159"/>
        <v>2.76</v>
      </c>
      <c r="J200" s="989"/>
      <c r="K200" s="576">
        <v>5</v>
      </c>
      <c r="L200" s="578">
        <f t="shared" ref="L200:Q200" si="160">I50</f>
        <v>850</v>
      </c>
      <c r="M200" s="578">
        <f t="shared" si="160"/>
        <v>9.9999999999999995E-7</v>
      </c>
      <c r="N200" s="578">
        <f t="shared" si="160"/>
        <v>9.9999999999999995E-7</v>
      </c>
      <c r="O200" s="578">
        <f t="shared" si="160"/>
        <v>0</v>
      </c>
      <c r="P200" s="578">
        <f t="shared" si="160"/>
        <v>0</v>
      </c>
      <c r="Q200" s="578">
        <f t="shared" si="160"/>
        <v>2.9</v>
      </c>
    </row>
    <row r="201" spans="1:17" x14ac:dyDescent="0.25">
      <c r="A201" s="989"/>
      <c r="B201" s="576">
        <v>6</v>
      </c>
      <c r="C201" s="576">
        <f t="shared" ref="C201:H201" si="161">P42</f>
        <v>250</v>
      </c>
      <c r="D201" s="576">
        <f t="shared" si="161"/>
        <v>0</v>
      </c>
      <c r="E201" s="576">
        <f t="shared" si="161"/>
        <v>9.9999999999999995E-7</v>
      </c>
      <c r="F201" s="576">
        <f t="shared" si="161"/>
        <v>9.9999999999999995E-7</v>
      </c>
      <c r="G201" s="576">
        <f t="shared" si="161"/>
        <v>4.9999999999999998E-7</v>
      </c>
      <c r="H201" s="576">
        <f t="shared" si="161"/>
        <v>0</v>
      </c>
      <c r="J201" s="989"/>
      <c r="K201" s="576">
        <v>6</v>
      </c>
      <c r="L201" s="578">
        <f t="shared" ref="L201:Q201" si="162">P50</f>
        <v>1000</v>
      </c>
      <c r="M201" s="578">
        <f t="shared" si="162"/>
        <v>0</v>
      </c>
      <c r="N201" s="578">
        <f t="shared" si="162"/>
        <v>9.9999999999999995E-7</v>
      </c>
      <c r="O201" s="578">
        <f t="shared" si="162"/>
        <v>9.9999999999999995E-7</v>
      </c>
      <c r="P201" s="578">
        <f t="shared" si="162"/>
        <v>4.9999999999999998E-7</v>
      </c>
      <c r="Q201" s="578">
        <f t="shared" si="162"/>
        <v>2.9</v>
      </c>
    </row>
    <row r="202" spans="1:17" x14ac:dyDescent="0.25">
      <c r="A202" s="989"/>
      <c r="B202" s="576">
        <v>7</v>
      </c>
      <c r="C202" s="576">
        <f t="shared" ref="C202:H202" si="163">B73</f>
        <v>240</v>
      </c>
      <c r="D202" s="576">
        <f t="shared" si="163"/>
        <v>0</v>
      </c>
      <c r="E202" s="576">
        <f t="shared" si="163"/>
        <v>0.38</v>
      </c>
      <c r="F202" s="576">
        <f t="shared" si="163"/>
        <v>9.9999999999999995E-7</v>
      </c>
      <c r="G202" s="576">
        <f t="shared" si="163"/>
        <v>0.19</v>
      </c>
      <c r="H202" s="576">
        <f t="shared" si="163"/>
        <v>2.88</v>
      </c>
      <c r="J202" s="989"/>
      <c r="K202" s="576">
        <v>7</v>
      </c>
      <c r="L202" s="578">
        <f t="shared" ref="L202:Q202" si="164">B81</f>
        <v>1000</v>
      </c>
      <c r="M202" s="578">
        <f t="shared" si="164"/>
        <v>0</v>
      </c>
      <c r="N202" s="578">
        <f t="shared" si="164"/>
        <v>9.9999999999999995E-7</v>
      </c>
      <c r="O202" s="578">
        <f t="shared" si="164"/>
        <v>9.9999999999999995E-7</v>
      </c>
      <c r="P202" s="578">
        <f t="shared" si="164"/>
        <v>4.9999999999999998E-7</v>
      </c>
      <c r="Q202" s="578">
        <f t="shared" si="164"/>
        <v>2.95</v>
      </c>
    </row>
    <row r="203" spans="1:17" x14ac:dyDescent="0.25">
      <c r="A203" s="989"/>
      <c r="B203" s="576">
        <v>8</v>
      </c>
      <c r="C203" s="576">
        <f t="shared" ref="C203:H203" si="165">I73</f>
        <v>250</v>
      </c>
      <c r="D203" s="576">
        <f t="shared" si="165"/>
        <v>9.9999999999999995E-7</v>
      </c>
      <c r="E203" s="576">
        <f t="shared" si="165"/>
        <v>-0.49</v>
      </c>
      <c r="F203" s="576">
        <f t="shared" si="165"/>
        <v>0</v>
      </c>
      <c r="G203" s="576">
        <f t="shared" si="165"/>
        <v>0.24500049999999998</v>
      </c>
      <c r="H203" s="576">
        <f t="shared" si="165"/>
        <v>3</v>
      </c>
      <c r="J203" s="989"/>
      <c r="K203" s="576">
        <v>8</v>
      </c>
      <c r="L203" s="578">
        <f t="shared" ref="L203:Q203" si="166">I81</f>
        <v>1000</v>
      </c>
      <c r="M203" s="578">
        <f t="shared" si="166"/>
        <v>-74</v>
      </c>
      <c r="N203" s="578">
        <f t="shared" si="166"/>
        <v>9.9999999999999995E-7</v>
      </c>
      <c r="O203" s="578">
        <f t="shared" si="166"/>
        <v>0</v>
      </c>
      <c r="P203" s="578">
        <f t="shared" si="166"/>
        <v>37.000000499999999</v>
      </c>
      <c r="Q203" s="578">
        <f t="shared" si="166"/>
        <v>5.8999999999999995</v>
      </c>
    </row>
    <row r="204" spans="1:17" x14ac:dyDescent="0.25">
      <c r="A204" s="989"/>
      <c r="B204" s="576">
        <v>9</v>
      </c>
      <c r="C204" s="576">
        <f t="shared" ref="C204:H204" si="167">P73</f>
        <v>250</v>
      </c>
      <c r="D204" s="576">
        <f t="shared" si="167"/>
        <v>0</v>
      </c>
      <c r="E204" s="576">
        <f t="shared" si="167"/>
        <v>-0.39</v>
      </c>
      <c r="F204" s="576">
        <f t="shared" si="167"/>
        <v>0</v>
      </c>
      <c r="G204" s="576">
        <f t="shared" si="167"/>
        <v>0.19500000000000001</v>
      </c>
      <c r="H204" s="576">
        <f t="shared" si="167"/>
        <v>3</v>
      </c>
      <c r="J204" s="989"/>
      <c r="K204" s="576">
        <v>9</v>
      </c>
      <c r="L204" s="578">
        <f t="shared" ref="L204:Q204" si="168">P81</f>
        <v>1000</v>
      </c>
      <c r="M204" s="578">
        <f t="shared" si="168"/>
        <v>-6.6000000000000003E-2</v>
      </c>
      <c r="N204" s="578">
        <f t="shared" si="168"/>
        <v>9.9999999999999995E-7</v>
      </c>
      <c r="O204" s="578">
        <f t="shared" si="168"/>
        <v>0</v>
      </c>
      <c r="P204" s="578">
        <f t="shared" si="168"/>
        <v>3.3000500000000002E-2</v>
      </c>
      <c r="Q204" s="578">
        <f t="shared" si="168"/>
        <v>2.99</v>
      </c>
    </row>
    <row r="205" spans="1:17" x14ac:dyDescent="0.25">
      <c r="A205" s="989"/>
      <c r="B205" s="576">
        <v>10</v>
      </c>
      <c r="C205" s="576">
        <f t="shared" ref="C205:H205" si="169">B104</f>
        <v>250</v>
      </c>
      <c r="D205" s="576">
        <f t="shared" si="169"/>
        <v>-0.11</v>
      </c>
      <c r="E205" s="576" t="str">
        <f t="shared" si="169"/>
        <v>-</v>
      </c>
      <c r="F205" s="576">
        <f t="shared" si="169"/>
        <v>0</v>
      </c>
      <c r="G205" s="576">
        <f t="shared" si="169"/>
        <v>0</v>
      </c>
      <c r="H205" s="576" t="str">
        <f t="shared" si="169"/>
        <v>-</v>
      </c>
      <c r="J205" s="989"/>
      <c r="K205" s="576">
        <v>10</v>
      </c>
      <c r="L205" s="578">
        <f t="shared" ref="L205:Q205" si="170">B112</f>
        <v>1000</v>
      </c>
      <c r="M205" s="578">
        <f t="shared" si="170"/>
        <v>2</v>
      </c>
      <c r="N205" s="578" t="str">
        <f t="shared" si="170"/>
        <v>-</v>
      </c>
      <c r="O205" s="578">
        <f t="shared" si="170"/>
        <v>0</v>
      </c>
      <c r="P205" s="578">
        <f t="shared" si="170"/>
        <v>0</v>
      </c>
      <c r="Q205" s="578" t="str">
        <f t="shared" si="170"/>
        <v>-</v>
      </c>
    </row>
    <row r="206" spans="1:17" x14ac:dyDescent="0.25">
      <c r="A206" s="989"/>
      <c r="B206" s="576">
        <v>11</v>
      </c>
      <c r="C206" s="576">
        <f t="shared" ref="C206:H206" si="171">I104</f>
        <v>250</v>
      </c>
      <c r="D206" s="576">
        <f t="shared" si="171"/>
        <v>9.9999999999999995E-7</v>
      </c>
      <c r="E206" s="576" t="str">
        <f t="shared" si="171"/>
        <v>-</v>
      </c>
      <c r="F206" s="576">
        <f t="shared" si="171"/>
        <v>0</v>
      </c>
      <c r="G206" s="576">
        <f t="shared" si="171"/>
        <v>0</v>
      </c>
      <c r="H206" s="576" t="str">
        <f t="shared" si="171"/>
        <v>-</v>
      </c>
      <c r="J206" s="989"/>
      <c r="K206" s="576">
        <v>11</v>
      </c>
      <c r="L206" s="578">
        <f t="shared" ref="L206:Q206" si="172">I112</f>
        <v>1000</v>
      </c>
      <c r="M206" s="578">
        <f t="shared" si="172"/>
        <v>9.9999999999999995E-7</v>
      </c>
      <c r="N206" s="578" t="str">
        <f t="shared" si="172"/>
        <v>-</v>
      </c>
      <c r="O206" s="578">
        <f t="shared" si="172"/>
        <v>0</v>
      </c>
      <c r="P206" s="578">
        <f t="shared" si="172"/>
        <v>0</v>
      </c>
      <c r="Q206" s="578" t="str">
        <f t="shared" si="172"/>
        <v>-</v>
      </c>
    </row>
    <row r="207" spans="1:17" x14ac:dyDescent="0.25">
      <c r="A207" s="989"/>
      <c r="B207" s="576">
        <v>12</v>
      </c>
      <c r="C207" s="576">
        <f t="shared" ref="C207:H207" si="173">P104</f>
        <v>250</v>
      </c>
      <c r="D207" s="576">
        <f t="shared" si="173"/>
        <v>9.9999999999999995E-7</v>
      </c>
      <c r="E207" s="576" t="str">
        <f t="shared" si="173"/>
        <v>-</v>
      </c>
      <c r="F207" s="576">
        <f t="shared" si="173"/>
        <v>0</v>
      </c>
      <c r="G207" s="576">
        <f t="shared" si="173"/>
        <v>0</v>
      </c>
      <c r="H207" s="576" t="str">
        <f t="shared" si="173"/>
        <v>-</v>
      </c>
      <c r="J207" s="989"/>
      <c r="K207" s="576">
        <v>12</v>
      </c>
      <c r="L207" s="578">
        <f t="shared" ref="L207:Q207" si="174">P112</f>
        <v>1000</v>
      </c>
      <c r="M207" s="578">
        <f t="shared" si="174"/>
        <v>9.9999999999999995E-7</v>
      </c>
      <c r="N207" s="578" t="str">
        <f t="shared" si="174"/>
        <v>-</v>
      </c>
      <c r="O207" s="578">
        <f t="shared" si="174"/>
        <v>0</v>
      </c>
      <c r="P207" s="578">
        <f t="shared" si="174"/>
        <v>0</v>
      </c>
      <c r="Q207" s="578" t="str">
        <f t="shared" si="174"/>
        <v>-</v>
      </c>
    </row>
    <row r="208" spans="1:17" x14ac:dyDescent="0.25">
      <c r="A208" s="579"/>
      <c r="B208" s="126"/>
      <c r="C208" s="126"/>
      <c r="D208" s="579"/>
      <c r="E208" s="579"/>
      <c r="F208" s="579"/>
      <c r="G208" s="579"/>
      <c r="H208" s="579"/>
      <c r="J208" s="579"/>
      <c r="K208" s="579"/>
      <c r="L208" s="579"/>
      <c r="M208" s="579"/>
      <c r="N208" s="579"/>
      <c r="O208" s="579"/>
      <c r="P208" s="579"/>
      <c r="Q208" s="480"/>
    </row>
    <row r="209" spans="1:17" ht="14" x14ac:dyDescent="0.3">
      <c r="A209" s="992" t="s">
        <v>244</v>
      </c>
      <c r="B209" s="993"/>
      <c r="C209" s="994" t="s">
        <v>219</v>
      </c>
      <c r="D209" s="994"/>
      <c r="E209" s="994"/>
      <c r="F209" s="994"/>
      <c r="G209" s="994"/>
      <c r="H209" s="994"/>
      <c r="J209" s="992" t="s">
        <v>244</v>
      </c>
      <c r="K209" s="993"/>
      <c r="L209" s="999" t="s">
        <v>219</v>
      </c>
      <c r="M209" s="999"/>
      <c r="N209" s="999"/>
      <c r="O209" s="999"/>
      <c r="P209" s="999"/>
      <c r="Q209" s="999"/>
    </row>
    <row r="210" spans="1:17" ht="13" customHeight="1" x14ac:dyDescent="0.25">
      <c r="A210" s="992"/>
      <c r="B210" s="993"/>
      <c r="C210" s="1000" t="str">
        <f>B20</f>
        <v>Main-PE</v>
      </c>
      <c r="D210" s="1000"/>
      <c r="E210" s="1000"/>
      <c r="F210" s="1000"/>
      <c r="G210" s="580" t="s">
        <v>221</v>
      </c>
      <c r="H210" s="580" t="s">
        <v>222</v>
      </c>
      <c r="J210" s="992"/>
      <c r="K210" s="993"/>
      <c r="L210" s="1000" t="str">
        <f>B26</f>
        <v>Resistance</v>
      </c>
      <c r="M210" s="1000"/>
      <c r="N210" s="1000"/>
      <c r="O210" s="1000"/>
      <c r="P210" s="580" t="s">
        <v>221</v>
      </c>
      <c r="Q210" s="580" t="s">
        <v>222</v>
      </c>
    </row>
    <row r="211" spans="1:17" ht="14.5" x14ac:dyDescent="0.25">
      <c r="A211" s="992"/>
      <c r="B211" s="993"/>
      <c r="C211" s="581" t="s">
        <v>227</v>
      </c>
      <c r="D211" s="580"/>
      <c r="E211" s="580"/>
      <c r="F211" s="480"/>
      <c r="G211" s="580"/>
      <c r="H211" s="580"/>
      <c r="J211" s="992"/>
      <c r="K211" s="993"/>
      <c r="L211" s="581" t="s">
        <v>229</v>
      </c>
      <c r="M211" s="580"/>
      <c r="N211" s="580"/>
      <c r="O211" s="480"/>
      <c r="P211" s="580"/>
      <c r="Q211" s="580"/>
    </row>
    <row r="212" spans="1:17" ht="14" x14ac:dyDescent="0.25">
      <c r="A212" s="1001" t="s">
        <v>50</v>
      </c>
      <c r="B212" s="576">
        <v>1</v>
      </c>
      <c r="C212" s="578">
        <f t="shared" ref="C212:H212" si="175">B22</f>
        <v>10</v>
      </c>
      <c r="D212" s="578">
        <f t="shared" si="175"/>
        <v>-1E-3</v>
      </c>
      <c r="E212" s="578">
        <f t="shared" si="175"/>
        <v>9.9999999999999995E-7</v>
      </c>
      <c r="F212" s="578">
        <f t="shared" si="175"/>
        <v>0</v>
      </c>
      <c r="G212" s="578">
        <f t="shared" si="175"/>
        <v>5.0049999999999997E-4</v>
      </c>
      <c r="H212" s="578">
        <f t="shared" si="175"/>
        <v>0</v>
      </c>
      <c r="J212" s="1001" t="s">
        <v>50</v>
      </c>
      <c r="K212" s="576">
        <v>1</v>
      </c>
      <c r="L212" s="571">
        <f t="shared" ref="L212:Q212" si="176">B28</f>
        <v>0</v>
      </c>
      <c r="M212" s="571">
        <f t="shared" si="176"/>
        <v>9.9999999999999995E-7</v>
      </c>
      <c r="N212" s="571">
        <f t="shared" si="176"/>
        <v>9.9999999999999995E-7</v>
      </c>
      <c r="O212" s="571">
        <f t="shared" si="176"/>
        <v>0</v>
      </c>
      <c r="P212" s="571">
        <f t="shared" si="176"/>
        <v>0</v>
      </c>
      <c r="Q212" s="571">
        <f t="shared" si="176"/>
        <v>0</v>
      </c>
    </row>
    <row r="213" spans="1:17" x14ac:dyDescent="0.25">
      <c r="A213" s="1001"/>
      <c r="B213" s="576">
        <v>2</v>
      </c>
      <c r="C213" s="578">
        <f t="shared" ref="C213:H213" si="177">I22</f>
        <v>10</v>
      </c>
      <c r="D213" s="578">
        <f t="shared" si="177"/>
        <v>0.1</v>
      </c>
      <c r="E213" s="578">
        <f t="shared" si="177"/>
        <v>9.9999999999999995E-7</v>
      </c>
      <c r="F213" s="578">
        <f t="shared" si="177"/>
        <v>0</v>
      </c>
      <c r="G213" s="578">
        <f t="shared" si="177"/>
        <v>4.9999500000000002E-2</v>
      </c>
      <c r="H213" s="578">
        <f t="shared" si="177"/>
        <v>5.8999999999999997E-2</v>
      </c>
      <c r="J213" s="1001"/>
      <c r="K213" s="576">
        <v>2</v>
      </c>
      <c r="L213" s="578">
        <f t="shared" ref="L213:Q213" si="178">I28</f>
        <v>0.01</v>
      </c>
      <c r="M213" s="578">
        <f t="shared" si="178"/>
        <v>9.9999999999999995E-7</v>
      </c>
      <c r="N213" s="578">
        <f t="shared" si="178"/>
        <v>9.9999999999999995E-7</v>
      </c>
      <c r="O213" s="578">
        <f t="shared" si="178"/>
        <v>0</v>
      </c>
      <c r="P213" s="578">
        <f t="shared" si="178"/>
        <v>0</v>
      </c>
      <c r="Q213" s="578">
        <f t="shared" si="178"/>
        <v>1.2E-4</v>
      </c>
    </row>
    <row r="214" spans="1:17" x14ac:dyDescent="0.25">
      <c r="A214" s="1001"/>
      <c r="B214" s="576">
        <v>3</v>
      </c>
      <c r="C214" s="578">
        <f t="shared" ref="C214:H214" si="179">P22</f>
        <v>5</v>
      </c>
      <c r="D214" s="578">
        <f t="shared" si="179"/>
        <v>9.9999999999999995E-7</v>
      </c>
      <c r="E214" s="578">
        <f t="shared" si="179"/>
        <v>9.9999999999999995E-7</v>
      </c>
      <c r="F214" s="578">
        <f t="shared" si="179"/>
        <v>9.9999999999999995E-7</v>
      </c>
      <c r="G214" s="578">
        <f t="shared" si="179"/>
        <v>0</v>
      </c>
      <c r="H214" s="578">
        <f t="shared" si="179"/>
        <v>8.5000000000000006E-2</v>
      </c>
      <c r="J214" s="1001"/>
      <c r="K214" s="576">
        <v>3</v>
      </c>
      <c r="L214" s="578">
        <f t="shared" ref="L214:Q214" si="180">P28</f>
        <v>0</v>
      </c>
      <c r="M214" s="578">
        <f t="shared" si="180"/>
        <v>-1E-3</v>
      </c>
      <c r="N214" s="578">
        <f t="shared" si="180"/>
        <v>9.9999999999999995E-7</v>
      </c>
      <c r="O214" s="578">
        <f t="shared" si="180"/>
        <v>9.9999999999999995E-7</v>
      </c>
      <c r="P214" s="578">
        <f t="shared" si="180"/>
        <v>5.0049999999999997E-4</v>
      </c>
      <c r="Q214" s="578">
        <f t="shared" si="180"/>
        <v>0</v>
      </c>
    </row>
    <row r="215" spans="1:17" x14ac:dyDescent="0.25">
      <c r="A215" s="1001"/>
      <c r="B215" s="576">
        <v>4</v>
      </c>
      <c r="C215" s="578">
        <f t="shared" ref="C215:H215" si="181">B53</f>
        <v>10</v>
      </c>
      <c r="D215" s="578">
        <f t="shared" si="181"/>
        <v>9.9999999999999995E-7</v>
      </c>
      <c r="E215" s="578">
        <f t="shared" si="181"/>
        <v>0.1</v>
      </c>
      <c r="F215" s="578">
        <f t="shared" si="181"/>
        <v>0</v>
      </c>
      <c r="G215" s="578">
        <f t="shared" si="181"/>
        <v>4.9999500000000002E-2</v>
      </c>
      <c r="H215" s="578">
        <f t="shared" si="181"/>
        <v>0.17</v>
      </c>
      <c r="J215" s="1001"/>
      <c r="K215" s="576">
        <v>4</v>
      </c>
      <c r="L215" s="578">
        <f t="shared" ref="L215:Q215" si="182">B59</f>
        <v>0.01</v>
      </c>
      <c r="M215" s="578">
        <f t="shared" si="182"/>
        <v>9.9999999999999995E-7</v>
      </c>
      <c r="N215" s="578">
        <f t="shared" si="182"/>
        <v>9.9999999999999995E-7</v>
      </c>
      <c r="O215" s="578">
        <f t="shared" si="182"/>
        <v>0</v>
      </c>
      <c r="P215" s="578">
        <f t="shared" si="182"/>
        <v>0</v>
      </c>
      <c r="Q215" s="578">
        <f t="shared" si="182"/>
        <v>0</v>
      </c>
    </row>
    <row r="216" spans="1:17" x14ac:dyDescent="0.25">
      <c r="A216" s="1001"/>
      <c r="B216" s="576">
        <v>5</v>
      </c>
      <c r="C216" s="578">
        <f t="shared" ref="C216:H216" si="183">I53</f>
        <v>10</v>
      </c>
      <c r="D216" s="578">
        <f t="shared" si="183"/>
        <v>9.9999999999999995E-7</v>
      </c>
      <c r="E216" s="578">
        <f t="shared" si="183"/>
        <v>0.1</v>
      </c>
      <c r="F216" s="578">
        <f t="shared" si="183"/>
        <v>0</v>
      </c>
      <c r="G216" s="578">
        <f t="shared" si="183"/>
        <v>4.9999500000000002E-2</v>
      </c>
      <c r="H216" s="578">
        <f t="shared" si="183"/>
        <v>0.17</v>
      </c>
      <c r="J216" s="1001"/>
      <c r="K216" s="576">
        <v>5</v>
      </c>
      <c r="L216" s="576">
        <f t="shared" ref="L216:Q216" si="184">I59</f>
        <v>0.01</v>
      </c>
      <c r="M216" s="576">
        <f t="shared" si="184"/>
        <v>9.9999999999999995E-7</v>
      </c>
      <c r="N216" s="576">
        <f t="shared" si="184"/>
        <v>9.9999999999999995E-7</v>
      </c>
      <c r="O216" s="576">
        <f t="shared" si="184"/>
        <v>0</v>
      </c>
      <c r="P216" s="576">
        <f t="shared" si="184"/>
        <v>0</v>
      </c>
      <c r="Q216" s="576">
        <f t="shared" si="184"/>
        <v>1.2E-4</v>
      </c>
    </row>
    <row r="217" spans="1:17" x14ac:dyDescent="0.25">
      <c r="A217" s="1001"/>
      <c r="B217" s="576">
        <v>6</v>
      </c>
      <c r="C217" s="578">
        <f t="shared" ref="C217:H217" si="185">P53</f>
        <v>10</v>
      </c>
      <c r="D217" s="578">
        <f t="shared" si="185"/>
        <v>0.1</v>
      </c>
      <c r="E217" s="578">
        <f t="shared" si="185"/>
        <v>0.1</v>
      </c>
      <c r="F217" s="578">
        <f t="shared" si="185"/>
        <v>9.9999999999999995E-7</v>
      </c>
      <c r="G217" s="578">
        <f t="shared" si="185"/>
        <v>4.9999500000000002E-2</v>
      </c>
      <c r="H217" s="578">
        <f t="shared" si="185"/>
        <v>0.17</v>
      </c>
      <c r="J217" s="1001"/>
      <c r="K217" s="576">
        <v>6</v>
      </c>
      <c r="L217" s="576">
        <f t="shared" ref="L217:Q217" si="186">P59</f>
        <v>0.01</v>
      </c>
      <c r="M217" s="576">
        <f t="shared" si="186"/>
        <v>0</v>
      </c>
      <c r="N217" s="576">
        <f t="shared" si="186"/>
        <v>9.9999999999999995E-7</v>
      </c>
      <c r="O217" s="576">
        <f t="shared" si="186"/>
        <v>9.9999999999999995E-7</v>
      </c>
      <c r="P217" s="576">
        <f t="shared" si="186"/>
        <v>4.9999999999999998E-7</v>
      </c>
      <c r="Q217" s="576">
        <f t="shared" si="186"/>
        <v>1.2E-4</v>
      </c>
    </row>
    <row r="218" spans="1:17" x14ac:dyDescent="0.25">
      <c r="A218" s="1001"/>
      <c r="B218" s="576">
        <v>7</v>
      </c>
      <c r="C218" s="578">
        <f t="shared" ref="C218:H218" si="187">B84</f>
        <v>10</v>
      </c>
      <c r="D218" s="578">
        <f t="shared" si="187"/>
        <v>0</v>
      </c>
      <c r="E218" s="578">
        <f t="shared" si="187"/>
        <v>9.9999999999999995E-7</v>
      </c>
      <c r="F218" s="578">
        <f t="shared" si="187"/>
        <v>9.9999999999999995E-7</v>
      </c>
      <c r="G218" s="578">
        <f t="shared" si="187"/>
        <v>4.9999999999999998E-7</v>
      </c>
      <c r="H218" s="578">
        <f t="shared" si="187"/>
        <v>0.17</v>
      </c>
      <c r="J218" s="1001"/>
      <c r="K218" s="576">
        <v>7</v>
      </c>
      <c r="L218" s="576">
        <f t="shared" ref="L218:Q218" si="188">B90</f>
        <v>0.01</v>
      </c>
      <c r="M218" s="576">
        <f t="shared" si="188"/>
        <v>0</v>
      </c>
      <c r="N218" s="576">
        <f t="shared" si="188"/>
        <v>9.9999999999999995E-7</v>
      </c>
      <c r="O218" s="576">
        <f t="shared" si="188"/>
        <v>9.9999999999999995E-7</v>
      </c>
      <c r="P218" s="576">
        <f t="shared" si="188"/>
        <v>4.9999999999999998E-7</v>
      </c>
      <c r="Q218" s="576">
        <f t="shared" si="188"/>
        <v>0.01</v>
      </c>
    </row>
    <row r="219" spans="1:17" x14ac:dyDescent="0.25">
      <c r="A219" s="1001"/>
      <c r="B219" s="576">
        <v>8</v>
      </c>
      <c r="C219" s="578">
        <f t="shared" ref="C219:H219" si="189">I84</f>
        <v>10</v>
      </c>
      <c r="D219" s="578">
        <f t="shared" si="189"/>
        <v>9.9999999999999995E-7</v>
      </c>
      <c r="E219" s="578">
        <f t="shared" si="189"/>
        <v>9.9999999999999995E-7</v>
      </c>
      <c r="F219" s="578">
        <f t="shared" si="189"/>
        <v>0</v>
      </c>
      <c r="G219" s="578">
        <f t="shared" si="189"/>
        <v>0</v>
      </c>
      <c r="H219" s="578">
        <f t="shared" si="189"/>
        <v>0.17</v>
      </c>
      <c r="J219" s="1001"/>
      <c r="K219" s="576">
        <v>8</v>
      </c>
      <c r="L219" s="576">
        <f t="shared" ref="L219:Q219" si="190">I90</f>
        <v>0.1</v>
      </c>
      <c r="M219" s="576">
        <f t="shared" si="190"/>
        <v>-1E-3</v>
      </c>
      <c r="N219" s="576">
        <f t="shared" si="190"/>
        <v>-1E-3</v>
      </c>
      <c r="O219" s="576">
        <f t="shared" si="190"/>
        <v>0</v>
      </c>
      <c r="P219" s="576">
        <f t="shared" si="190"/>
        <v>0</v>
      </c>
      <c r="Q219" s="576">
        <f t="shared" si="190"/>
        <v>1.2000000000000001E-3</v>
      </c>
    </row>
    <row r="220" spans="1:17" x14ac:dyDescent="0.25">
      <c r="A220" s="1001"/>
      <c r="B220" s="576">
        <v>9</v>
      </c>
      <c r="C220" s="578">
        <f t="shared" ref="C220:H220" si="191">P84</f>
        <v>10</v>
      </c>
      <c r="D220" s="578">
        <f t="shared" si="191"/>
        <v>0</v>
      </c>
      <c r="E220" s="578">
        <f t="shared" si="191"/>
        <v>9.9999999999999995E-7</v>
      </c>
      <c r="F220" s="578">
        <f t="shared" si="191"/>
        <v>0</v>
      </c>
      <c r="G220" s="578">
        <f t="shared" si="191"/>
        <v>4.9999999999999998E-7</v>
      </c>
      <c r="H220" s="578">
        <f t="shared" si="191"/>
        <v>0</v>
      </c>
      <c r="J220" s="1001"/>
      <c r="K220" s="576">
        <v>9</v>
      </c>
      <c r="L220" s="576">
        <f t="shared" ref="L220:Q220" si="192">P90</f>
        <v>1E-3</v>
      </c>
      <c r="M220" s="576">
        <f t="shared" si="192"/>
        <v>0</v>
      </c>
      <c r="N220" s="576">
        <f t="shared" si="192"/>
        <v>-1E-3</v>
      </c>
      <c r="O220" s="576">
        <f t="shared" si="192"/>
        <v>0</v>
      </c>
      <c r="P220" s="576">
        <f t="shared" si="192"/>
        <v>5.0000000000000001E-4</v>
      </c>
      <c r="Q220" s="576">
        <f t="shared" si="192"/>
        <v>1.2E-5</v>
      </c>
    </row>
    <row r="221" spans="1:17" x14ac:dyDescent="0.25">
      <c r="A221" s="1001"/>
      <c r="B221" s="576">
        <v>10</v>
      </c>
      <c r="C221" s="578">
        <f t="shared" ref="C221:H221" si="193">B115</f>
        <v>10</v>
      </c>
      <c r="D221" s="578">
        <f t="shared" si="193"/>
        <v>9.9999999999999995E-7</v>
      </c>
      <c r="E221" s="578" t="str">
        <f t="shared" si="193"/>
        <v>-</v>
      </c>
      <c r="F221" s="578">
        <f t="shared" si="193"/>
        <v>0</v>
      </c>
      <c r="G221" s="578">
        <f t="shared" si="193"/>
        <v>0</v>
      </c>
      <c r="H221" s="578" t="str">
        <f t="shared" si="193"/>
        <v>-</v>
      </c>
      <c r="J221" s="1001"/>
      <c r="K221" s="576">
        <v>10</v>
      </c>
      <c r="L221" s="576">
        <f t="shared" ref="L221:Q221" si="194">B121</f>
        <v>0</v>
      </c>
      <c r="M221" s="576">
        <f t="shared" si="194"/>
        <v>9.9999999999999995E-7</v>
      </c>
      <c r="N221" s="576" t="str">
        <f t="shared" si="194"/>
        <v>-</v>
      </c>
      <c r="O221" s="576">
        <f t="shared" si="194"/>
        <v>0</v>
      </c>
      <c r="P221" s="576">
        <f t="shared" si="194"/>
        <v>0</v>
      </c>
      <c r="Q221" s="576" t="str">
        <f t="shared" si="194"/>
        <v>-</v>
      </c>
    </row>
    <row r="222" spans="1:17" x14ac:dyDescent="0.25">
      <c r="A222" s="1001"/>
      <c r="B222" s="576">
        <v>11</v>
      </c>
      <c r="C222" s="578">
        <f t="shared" ref="C222:H222" si="195">I115</f>
        <v>10</v>
      </c>
      <c r="D222" s="578">
        <f t="shared" si="195"/>
        <v>9.9999999999999995E-7</v>
      </c>
      <c r="E222" s="578" t="str">
        <f t="shared" si="195"/>
        <v>-</v>
      </c>
      <c r="F222" s="578">
        <f t="shared" si="195"/>
        <v>0</v>
      </c>
      <c r="G222" s="578">
        <f t="shared" si="195"/>
        <v>0</v>
      </c>
      <c r="H222" s="578" t="str">
        <f t="shared" si="195"/>
        <v>-</v>
      </c>
      <c r="J222" s="1001"/>
      <c r="K222" s="576">
        <v>11</v>
      </c>
      <c r="L222" s="576">
        <f t="shared" ref="L222:Q222" si="196">I121</f>
        <v>0.01</v>
      </c>
      <c r="M222" s="576">
        <f t="shared" si="196"/>
        <v>9.9999999999999995E-7</v>
      </c>
      <c r="N222" s="576" t="str">
        <f t="shared" si="196"/>
        <v>-</v>
      </c>
      <c r="O222" s="576">
        <f t="shared" si="196"/>
        <v>0</v>
      </c>
      <c r="P222" s="576">
        <f t="shared" si="196"/>
        <v>0</v>
      </c>
      <c r="Q222" s="576" t="str">
        <f t="shared" si="196"/>
        <v>-</v>
      </c>
    </row>
    <row r="223" spans="1:17" x14ac:dyDescent="0.25">
      <c r="A223" s="1001"/>
      <c r="B223" s="576">
        <v>12</v>
      </c>
      <c r="C223" s="578">
        <f t="shared" ref="C223:H223" si="197">P115</f>
        <v>10</v>
      </c>
      <c r="D223" s="578">
        <f t="shared" si="197"/>
        <v>9.9999999999999995E-7</v>
      </c>
      <c r="E223" s="578" t="str">
        <f t="shared" si="197"/>
        <v>-</v>
      </c>
      <c r="F223" s="578">
        <f t="shared" si="197"/>
        <v>0</v>
      </c>
      <c r="G223" s="578">
        <f t="shared" si="197"/>
        <v>0</v>
      </c>
      <c r="H223" s="578" t="str">
        <f t="shared" si="197"/>
        <v>-</v>
      </c>
      <c r="J223" s="1001"/>
      <c r="K223" s="576">
        <v>12</v>
      </c>
      <c r="L223" s="576">
        <f t="shared" ref="L223:Q223" si="198">P121</f>
        <v>0.01</v>
      </c>
      <c r="M223" s="576">
        <f t="shared" si="198"/>
        <v>9.9999999999999995E-7</v>
      </c>
      <c r="N223" s="576" t="str">
        <f t="shared" si="198"/>
        <v>-</v>
      </c>
      <c r="O223" s="576">
        <f t="shared" si="198"/>
        <v>0</v>
      </c>
      <c r="P223" s="576">
        <f t="shared" si="198"/>
        <v>0</v>
      </c>
      <c r="Q223" s="576" t="str">
        <f t="shared" si="198"/>
        <v>-</v>
      </c>
    </row>
    <row r="224" spans="1:17" s="435" customFormat="1" x14ac:dyDescent="0.25">
      <c r="A224" s="582"/>
      <c r="B224" s="34"/>
      <c r="C224" s="43"/>
      <c r="D224" s="43"/>
      <c r="E224" s="43"/>
      <c r="F224" s="455"/>
      <c r="G224" s="43"/>
      <c r="H224" s="43"/>
      <c r="J224" s="582"/>
      <c r="K224" s="34"/>
      <c r="L224" s="34"/>
      <c r="M224" s="34"/>
      <c r="N224" s="34"/>
      <c r="O224" s="455"/>
      <c r="P224" s="34"/>
      <c r="Q224" s="34"/>
    </row>
    <row r="225" spans="1:17" x14ac:dyDescent="0.25">
      <c r="A225" s="1001" t="s">
        <v>51</v>
      </c>
      <c r="B225" s="576">
        <v>1</v>
      </c>
      <c r="C225" s="578">
        <f t="shared" ref="C225:H225" si="199">B23</f>
        <v>20</v>
      </c>
      <c r="D225" s="578">
        <f t="shared" si="199"/>
        <v>9.9999999999999995E-7</v>
      </c>
      <c r="E225" s="578">
        <f t="shared" si="199"/>
        <v>9.9999999999999995E-7</v>
      </c>
      <c r="F225" s="578">
        <f t="shared" si="199"/>
        <v>0</v>
      </c>
      <c r="G225" s="578">
        <f t="shared" si="199"/>
        <v>0</v>
      </c>
      <c r="H225" s="578">
        <f t="shared" si="199"/>
        <v>0</v>
      </c>
      <c r="J225" s="1001" t="s">
        <v>51</v>
      </c>
      <c r="K225" s="576">
        <v>1</v>
      </c>
      <c r="L225" s="576">
        <f t="shared" ref="L225:Q225" si="200">B29</f>
        <v>0.1</v>
      </c>
      <c r="M225" s="576">
        <f t="shared" si="200"/>
        <v>-1E-3</v>
      </c>
      <c r="N225" s="576">
        <f t="shared" si="200"/>
        <v>2E-3</v>
      </c>
      <c r="O225" s="576">
        <f t="shared" si="200"/>
        <v>0</v>
      </c>
      <c r="P225" s="576">
        <f t="shared" si="200"/>
        <v>1.5E-3</v>
      </c>
      <c r="Q225" s="576">
        <f t="shared" si="200"/>
        <v>1.2000000000000001E-3</v>
      </c>
    </row>
    <row r="226" spans="1:17" x14ac:dyDescent="0.25">
      <c r="A226" s="1001"/>
      <c r="B226" s="576">
        <v>2</v>
      </c>
      <c r="C226" s="578">
        <f t="shared" ref="C226:H226" si="201">I23</f>
        <v>20</v>
      </c>
      <c r="D226" s="578">
        <f t="shared" si="201"/>
        <v>0.2</v>
      </c>
      <c r="E226" s="578">
        <f t="shared" si="201"/>
        <v>0.1</v>
      </c>
      <c r="F226" s="578">
        <f t="shared" si="201"/>
        <v>0</v>
      </c>
      <c r="G226" s="578">
        <f t="shared" si="201"/>
        <v>0.05</v>
      </c>
      <c r="H226" s="578">
        <f t="shared" si="201"/>
        <v>0.11799999999999999</v>
      </c>
      <c r="J226" s="1001"/>
      <c r="K226" s="576">
        <v>2</v>
      </c>
      <c r="L226" s="576">
        <f t="shared" ref="L226:Q226" si="202">I29</f>
        <v>0.1</v>
      </c>
      <c r="M226" s="576">
        <f t="shared" si="202"/>
        <v>6.0000000000000001E-3</v>
      </c>
      <c r="N226" s="576">
        <f t="shared" si="202"/>
        <v>5.0000000000000001E-3</v>
      </c>
      <c r="O226" s="576">
        <f t="shared" si="202"/>
        <v>0</v>
      </c>
      <c r="P226" s="576">
        <f t="shared" si="202"/>
        <v>5.0000000000000001E-4</v>
      </c>
      <c r="Q226" s="576">
        <f t="shared" si="202"/>
        <v>1.2000000000000001E-3</v>
      </c>
    </row>
    <row r="227" spans="1:17" x14ac:dyDescent="0.25">
      <c r="A227" s="1001"/>
      <c r="B227" s="576">
        <v>3</v>
      </c>
      <c r="C227" s="578">
        <f t="shared" ref="C227:H227" si="203">P23</f>
        <v>10</v>
      </c>
      <c r="D227" s="578">
        <f t="shared" si="203"/>
        <v>9.9999999999999995E-7</v>
      </c>
      <c r="E227" s="578">
        <f t="shared" si="203"/>
        <v>9.9999999999999995E-7</v>
      </c>
      <c r="F227" s="578">
        <f t="shared" si="203"/>
        <v>9.9999999999999995E-7</v>
      </c>
      <c r="G227" s="578">
        <f t="shared" si="203"/>
        <v>0</v>
      </c>
      <c r="H227" s="578">
        <f t="shared" si="203"/>
        <v>0.17</v>
      </c>
      <c r="J227" s="1001"/>
      <c r="K227" s="576">
        <v>3</v>
      </c>
      <c r="L227" s="576">
        <f t="shared" ref="L227:Q227" si="204">P29</f>
        <v>0.5</v>
      </c>
      <c r="M227" s="576">
        <f t="shared" si="204"/>
        <v>-2E-3</v>
      </c>
      <c r="N227" s="576">
        <f t="shared" si="204"/>
        <v>-1E-3</v>
      </c>
      <c r="O227" s="576">
        <f t="shared" si="204"/>
        <v>9.9999999999999995E-7</v>
      </c>
      <c r="P227" s="576">
        <f t="shared" si="204"/>
        <v>1.0005000000000001E-3</v>
      </c>
      <c r="Q227" s="576">
        <f t="shared" si="204"/>
        <v>6.0000000000000001E-3</v>
      </c>
    </row>
    <row r="228" spans="1:17" x14ac:dyDescent="0.25">
      <c r="A228" s="1001"/>
      <c r="B228" s="576">
        <v>4</v>
      </c>
      <c r="C228" s="578">
        <f t="shared" ref="C228:H228" si="205">B54</f>
        <v>20</v>
      </c>
      <c r="D228" s="578">
        <f t="shared" si="205"/>
        <v>0.1</v>
      </c>
      <c r="E228" s="578">
        <f t="shared" si="205"/>
        <v>0.2</v>
      </c>
      <c r="F228" s="578">
        <f t="shared" si="205"/>
        <v>0</v>
      </c>
      <c r="G228" s="578">
        <f t="shared" si="205"/>
        <v>0.05</v>
      </c>
      <c r="H228" s="578">
        <f t="shared" si="205"/>
        <v>0.34</v>
      </c>
      <c r="J228" s="1001"/>
      <c r="K228" s="576">
        <v>4</v>
      </c>
      <c r="L228" s="576">
        <f t="shared" ref="L228:Q228" si="206">B60</f>
        <v>0.1</v>
      </c>
      <c r="M228" s="576">
        <f t="shared" si="206"/>
        <v>-2E-3</v>
      </c>
      <c r="N228" s="576">
        <f t="shared" si="206"/>
        <v>9.9999999999999995E-7</v>
      </c>
      <c r="O228" s="576">
        <f t="shared" si="206"/>
        <v>0</v>
      </c>
      <c r="P228" s="576">
        <f t="shared" si="206"/>
        <v>1.0005000000000001E-3</v>
      </c>
      <c r="Q228" s="576">
        <f t="shared" si="206"/>
        <v>1.2000000000000001E-3</v>
      </c>
    </row>
    <row r="229" spans="1:17" x14ac:dyDescent="0.25">
      <c r="A229" s="1001"/>
      <c r="B229" s="576">
        <v>5</v>
      </c>
      <c r="C229" s="578">
        <f t="shared" ref="C229:H229" si="207">I54</f>
        <v>20</v>
      </c>
      <c r="D229" s="578">
        <f t="shared" si="207"/>
        <v>0.1</v>
      </c>
      <c r="E229" s="578">
        <f t="shared" si="207"/>
        <v>0.1</v>
      </c>
      <c r="F229" s="578">
        <f t="shared" si="207"/>
        <v>0</v>
      </c>
      <c r="G229" s="578">
        <f t="shared" si="207"/>
        <v>0</v>
      </c>
      <c r="H229" s="578">
        <f t="shared" si="207"/>
        <v>0.34</v>
      </c>
      <c r="J229" s="1001"/>
      <c r="K229" s="576">
        <v>5</v>
      </c>
      <c r="L229" s="576">
        <f t="shared" ref="L229:Q229" si="208">I60</f>
        <v>0.1</v>
      </c>
      <c r="M229" s="576">
        <f t="shared" si="208"/>
        <v>5.0000000000000001E-3</v>
      </c>
      <c r="N229" s="576">
        <f t="shared" si="208"/>
        <v>2E-3</v>
      </c>
      <c r="O229" s="576">
        <f t="shared" si="208"/>
        <v>0</v>
      </c>
      <c r="P229" s="576">
        <f t="shared" si="208"/>
        <v>1.5E-3</v>
      </c>
      <c r="Q229" s="576">
        <f t="shared" si="208"/>
        <v>1.2000000000000001E-3</v>
      </c>
    </row>
    <row r="230" spans="1:17" x14ac:dyDescent="0.25">
      <c r="A230" s="1001"/>
      <c r="B230" s="576">
        <v>6</v>
      </c>
      <c r="C230" s="578">
        <f t="shared" ref="C230:H230" si="209">P54</f>
        <v>20</v>
      </c>
      <c r="D230" s="578">
        <f t="shared" si="209"/>
        <v>0.1</v>
      </c>
      <c r="E230" s="578">
        <f t="shared" si="209"/>
        <v>0.1</v>
      </c>
      <c r="F230" s="578">
        <f t="shared" si="209"/>
        <v>9.9999999999999995E-7</v>
      </c>
      <c r="G230" s="578">
        <f t="shared" si="209"/>
        <v>4.9999500000000002E-2</v>
      </c>
      <c r="H230" s="578">
        <f t="shared" si="209"/>
        <v>0.34</v>
      </c>
      <c r="J230" s="1001"/>
      <c r="K230" s="576">
        <v>6</v>
      </c>
      <c r="L230" s="576">
        <f t="shared" ref="L230:Q230" si="210">P60</f>
        <v>0.1</v>
      </c>
      <c r="M230" s="576">
        <f t="shared" si="210"/>
        <v>-3.0000000000000001E-3</v>
      </c>
      <c r="N230" s="576">
        <f t="shared" si="210"/>
        <v>-2E-3</v>
      </c>
      <c r="O230" s="576">
        <f t="shared" si="210"/>
        <v>6.0000000000000001E-3</v>
      </c>
      <c r="P230" s="576">
        <f t="shared" si="210"/>
        <v>4.5000000000000005E-3</v>
      </c>
      <c r="Q230" s="576">
        <f t="shared" si="210"/>
        <v>1.2000000000000001E-3</v>
      </c>
    </row>
    <row r="231" spans="1:17" x14ac:dyDescent="0.25">
      <c r="A231" s="1001"/>
      <c r="B231" s="576">
        <v>7</v>
      </c>
      <c r="C231" s="578">
        <f t="shared" ref="C231:H231" si="211">B85</f>
        <v>20</v>
      </c>
      <c r="D231" s="578">
        <f t="shared" si="211"/>
        <v>0.1</v>
      </c>
      <c r="E231" s="578">
        <f t="shared" si="211"/>
        <v>9.9999999999999995E-7</v>
      </c>
      <c r="F231" s="578">
        <f t="shared" si="211"/>
        <v>0.1</v>
      </c>
      <c r="G231" s="578">
        <f t="shared" si="211"/>
        <v>4.9999500000000002E-2</v>
      </c>
      <c r="H231" s="578">
        <f t="shared" si="211"/>
        <v>0.34</v>
      </c>
      <c r="J231" s="1001"/>
      <c r="K231" s="576">
        <v>7</v>
      </c>
      <c r="L231" s="576">
        <f t="shared" ref="L231:Q231" si="212">B91</f>
        <v>0.5</v>
      </c>
      <c r="M231" s="576">
        <f t="shared" si="212"/>
        <v>3.0000000000000001E-3</v>
      </c>
      <c r="N231" s="576">
        <f t="shared" si="212"/>
        <v>9.9999999999999995E-7</v>
      </c>
      <c r="O231" s="576">
        <f t="shared" si="212"/>
        <v>1E-3</v>
      </c>
      <c r="P231" s="576">
        <f t="shared" si="212"/>
        <v>1.4995E-3</v>
      </c>
      <c r="Q231" s="576">
        <f t="shared" si="212"/>
        <v>6.0000000000000001E-3</v>
      </c>
    </row>
    <row r="232" spans="1:17" x14ac:dyDescent="0.25">
      <c r="A232" s="1001"/>
      <c r="B232" s="576">
        <v>8</v>
      </c>
      <c r="C232" s="578">
        <f t="shared" ref="C232:H232" si="213">I85</f>
        <v>20</v>
      </c>
      <c r="D232" s="578">
        <f t="shared" si="213"/>
        <v>9.9999999999999995E-7</v>
      </c>
      <c r="E232" s="578">
        <f t="shared" si="213"/>
        <v>9.9999999999999995E-7</v>
      </c>
      <c r="F232" s="578">
        <f t="shared" si="213"/>
        <v>0</v>
      </c>
      <c r="G232" s="578">
        <f t="shared" si="213"/>
        <v>0</v>
      </c>
      <c r="H232" s="578">
        <f t="shared" si="213"/>
        <v>0.34</v>
      </c>
      <c r="J232" s="1001"/>
      <c r="K232" s="576">
        <v>8</v>
      </c>
      <c r="L232" s="576">
        <f t="shared" ref="L232:Q232" si="214">I91</f>
        <v>0.5</v>
      </c>
      <c r="M232" s="576">
        <f t="shared" si="214"/>
        <v>4.0000000000000001E-3</v>
      </c>
      <c r="N232" s="576">
        <f t="shared" si="214"/>
        <v>-3.0000000000000001E-3</v>
      </c>
      <c r="O232" s="576">
        <f t="shared" si="214"/>
        <v>0</v>
      </c>
      <c r="P232" s="576">
        <f t="shared" si="214"/>
        <v>3.5000000000000001E-3</v>
      </c>
      <c r="Q232" s="576">
        <f t="shared" si="214"/>
        <v>6.0000000000000001E-3</v>
      </c>
    </row>
    <row r="233" spans="1:17" x14ac:dyDescent="0.25">
      <c r="A233" s="1001"/>
      <c r="B233" s="576">
        <v>9</v>
      </c>
      <c r="C233" s="578">
        <f t="shared" ref="C233:H233" si="215">P85</f>
        <v>20</v>
      </c>
      <c r="D233" s="578">
        <f t="shared" si="215"/>
        <v>0</v>
      </c>
      <c r="E233" s="578">
        <f t="shared" si="215"/>
        <v>9.9999999999999995E-7</v>
      </c>
      <c r="F233" s="578">
        <f t="shared" si="215"/>
        <v>0</v>
      </c>
      <c r="G233" s="578">
        <f t="shared" si="215"/>
        <v>4.9999999999999998E-7</v>
      </c>
      <c r="H233" s="578">
        <f t="shared" si="215"/>
        <v>0</v>
      </c>
      <c r="J233" s="1001"/>
      <c r="K233" s="576">
        <v>9</v>
      </c>
      <c r="L233" s="576">
        <f t="shared" ref="L233:Q233" si="216">P91</f>
        <v>0.10199999999999999</v>
      </c>
      <c r="M233" s="576">
        <f t="shared" si="216"/>
        <v>1E-3</v>
      </c>
      <c r="N233" s="576">
        <f t="shared" si="216"/>
        <v>-2E-3</v>
      </c>
      <c r="O233" s="576">
        <f t="shared" si="216"/>
        <v>0</v>
      </c>
      <c r="P233" s="576">
        <f t="shared" si="216"/>
        <v>1.5E-3</v>
      </c>
      <c r="Q233" s="576">
        <f t="shared" si="216"/>
        <v>1.224E-3</v>
      </c>
    </row>
    <row r="234" spans="1:17" x14ac:dyDescent="0.25">
      <c r="A234" s="1001"/>
      <c r="B234" s="576">
        <v>10</v>
      </c>
      <c r="C234" s="578">
        <f t="shared" ref="C234:H234" si="217">B116</f>
        <v>20</v>
      </c>
      <c r="D234" s="578">
        <f t="shared" si="217"/>
        <v>0.1</v>
      </c>
      <c r="E234" s="578" t="str">
        <f t="shared" si="217"/>
        <v>-</v>
      </c>
      <c r="F234" s="578">
        <f t="shared" si="217"/>
        <v>0</v>
      </c>
      <c r="G234" s="578">
        <f t="shared" si="217"/>
        <v>0</v>
      </c>
      <c r="H234" s="578" t="str">
        <f t="shared" si="217"/>
        <v>-</v>
      </c>
      <c r="J234" s="1001"/>
      <c r="K234" s="576">
        <v>10</v>
      </c>
      <c r="L234" s="576">
        <f t="shared" ref="L234:Q234" si="218">B122</f>
        <v>0.1</v>
      </c>
      <c r="M234" s="576">
        <f t="shared" si="218"/>
        <v>-2E-3</v>
      </c>
      <c r="N234" s="576" t="str">
        <f t="shared" si="218"/>
        <v>-</v>
      </c>
      <c r="O234" s="576">
        <f t="shared" si="218"/>
        <v>0</v>
      </c>
      <c r="P234" s="576">
        <f t="shared" si="218"/>
        <v>0</v>
      </c>
      <c r="Q234" s="576" t="str">
        <f t="shared" si="218"/>
        <v>-</v>
      </c>
    </row>
    <row r="235" spans="1:17" x14ac:dyDescent="0.25">
      <c r="A235" s="1001"/>
      <c r="B235" s="576">
        <v>11</v>
      </c>
      <c r="C235" s="578">
        <f t="shared" ref="C235:H235" si="219">I116</f>
        <v>20</v>
      </c>
      <c r="D235" s="578">
        <f t="shared" si="219"/>
        <v>9.9999999999999995E-7</v>
      </c>
      <c r="E235" s="578" t="str">
        <f t="shared" si="219"/>
        <v>-</v>
      </c>
      <c r="F235" s="578">
        <f t="shared" si="219"/>
        <v>0</v>
      </c>
      <c r="G235" s="578">
        <f t="shared" si="219"/>
        <v>0</v>
      </c>
      <c r="H235" s="578" t="str">
        <f t="shared" si="219"/>
        <v>-</v>
      </c>
      <c r="J235" s="1001"/>
      <c r="K235" s="576">
        <v>11</v>
      </c>
      <c r="L235" s="576">
        <f t="shared" ref="L235:Q235" si="220">I122</f>
        <v>0.1</v>
      </c>
      <c r="M235" s="576">
        <f t="shared" si="220"/>
        <v>9.9999999999999995E-7</v>
      </c>
      <c r="N235" s="576" t="str">
        <f t="shared" si="220"/>
        <v>-</v>
      </c>
      <c r="O235" s="576">
        <f t="shared" si="220"/>
        <v>0</v>
      </c>
      <c r="P235" s="576">
        <f t="shared" si="220"/>
        <v>0</v>
      </c>
      <c r="Q235" s="576" t="str">
        <f t="shared" si="220"/>
        <v>-</v>
      </c>
    </row>
    <row r="236" spans="1:17" x14ac:dyDescent="0.25">
      <c r="A236" s="1001"/>
      <c r="B236" s="576">
        <v>12</v>
      </c>
      <c r="C236" s="578">
        <f t="shared" ref="C236:H236" si="221">P116</f>
        <v>20</v>
      </c>
      <c r="D236" s="578">
        <f t="shared" si="221"/>
        <v>9.9999999999999995E-7</v>
      </c>
      <c r="E236" s="578" t="str">
        <f t="shared" si="221"/>
        <v>-</v>
      </c>
      <c r="F236" s="578">
        <f t="shared" si="221"/>
        <v>0</v>
      </c>
      <c r="G236" s="578">
        <f t="shared" si="221"/>
        <v>0</v>
      </c>
      <c r="H236" s="578" t="str">
        <f t="shared" si="221"/>
        <v>-</v>
      </c>
      <c r="J236" s="1001"/>
      <c r="K236" s="576">
        <v>12</v>
      </c>
      <c r="L236" s="576">
        <f t="shared" ref="L236:Q236" si="222">P122</f>
        <v>0.1</v>
      </c>
      <c r="M236" s="576">
        <f t="shared" si="222"/>
        <v>9.9999999999999995E-7</v>
      </c>
      <c r="N236" s="576" t="str">
        <f t="shared" si="222"/>
        <v>-</v>
      </c>
      <c r="O236" s="576">
        <f t="shared" si="222"/>
        <v>0</v>
      </c>
      <c r="P236" s="576">
        <f t="shared" si="222"/>
        <v>0</v>
      </c>
      <c r="Q236" s="576" t="str">
        <f t="shared" si="222"/>
        <v>-</v>
      </c>
    </row>
    <row r="237" spans="1:17" s="435" customFormat="1" x14ac:dyDescent="0.25">
      <c r="A237" s="582"/>
      <c r="B237" s="34"/>
      <c r="C237" s="43"/>
      <c r="D237" s="43"/>
      <c r="E237" s="43"/>
      <c r="F237" s="455"/>
      <c r="G237" s="43"/>
      <c r="H237" s="43"/>
      <c r="J237" s="582"/>
      <c r="K237" s="34"/>
      <c r="L237" s="34"/>
      <c r="M237" s="34"/>
      <c r="N237" s="34"/>
      <c r="O237" s="455"/>
      <c r="P237" s="34"/>
      <c r="Q237" s="34"/>
    </row>
    <row r="238" spans="1:17" x14ac:dyDescent="0.25">
      <c r="A238" s="1001" t="s">
        <v>52</v>
      </c>
      <c r="B238" s="576">
        <v>1</v>
      </c>
      <c r="C238" s="578">
        <f t="shared" ref="C238:H238" si="223">B24</f>
        <v>50</v>
      </c>
      <c r="D238" s="578">
        <f t="shared" si="223"/>
        <v>9.9999999999999995E-7</v>
      </c>
      <c r="E238" s="578">
        <f t="shared" si="223"/>
        <v>9.9999999999999995E-7</v>
      </c>
      <c r="F238" s="578">
        <f t="shared" si="223"/>
        <v>0</v>
      </c>
      <c r="G238" s="578">
        <f t="shared" si="223"/>
        <v>0</v>
      </c>
      <c r="H238" s="578">
        <f t="shared" si="223"/>
        <v>0</v>
      </c>
      <c r="J238" s="1001" t="s">
        <v>52</v>
      </c>
      <c r="K238" s="576">
        <v>1</v>
      </c>
      <c r="L238" s="576">
        <f t="shared" ref="L238:Q238" si="224">B30</f>
        <v>1</v>
      </c>
      <c r="M238" s="576">
        <f t="shared" si="224"/>
        <v>4.0000000000000001E-3</v>
      </c>
      <c r="N238" s="576">
        <f t="shared" si="224"/>
        <v>1.2E-2</v>
      </c>
      <c r="O238" s="576">
        <f t="shared" si="224"/>
        <v>0</v>
      </c>
      <c r="P238" s="576">
        <f t="shared" si="224"/>
        <v>4.0000000000000001E-3</v>
      </c>
      <c r="Q238" s="576">
        <f t="shared" si="224"/>
        <v>1.2E-2</v>
      </c>
    </row>
    <row r="239" spans="1:17" x14ac:dyDescent="0.25">
      <c r="A239" s="1001"/>
      <c r="B239" s="576">
        <v>2</v>
      </c>
      <c r="C239" s="578">
        <f t="shared" ref="C239:H239" si="225">I24</f>
        <v>50</v>
      </c>
      <c r="D239" s="578">
        <f t="shared" si="225"/>
        <v>0.3</v>
      </c>
      <c r="E239" s="578">
        <f t="shared" si="225"/>
        <v>0.1</v>
      </c>
      <c r="F239" s="578">
        <f t="shared" si="225"/>
        <v>0</v>
      </c>
      <c r="G239" s="578">
        <f t="shared" si="225"/>
        <v>9.9999999999999992E-2</v>
      </c>
      <c r="H239" s="578">
        <f t="shared" si="225"/>
        <v>0.29499999999999998</v>
      </c>
      <c r="J239" s="1001"/>
      <c r="K239" s="576">
        <v>2</v>
      </c>
      <c r="L239" s="576">
        <f t="shared" ref="L239:Q239" si="226">I30</f>
        <v>1</v>
      </c>
      <c r="M239" s="576">
        <f t="shared" si="226"/>
        <v>4.4999999999999998E-2</v>
      </c>
      <c r="N239" s="576">
        <f t="shared" si="226"/>
        <v>5.5E-2</v>
      </c>
      <c r="O239" s="576">
        <f t="shared" si="226"/>
        <v>0</v>
      </c>
      <c r="P239" s="576">
        <f t="shared" si="226"/>
        <v>5.000000000000001E-3</v>
      </c>
      <c r="Q239" s="576">
        <f t="shared" si="226"/>
        <v>1.2E-2</v>
      </c>
    </row>
    <row r="240" spans="1:17" x14ac:dyDescent="0.25">
      <c r="A240" s="1001"/>
      <c r="B240" s="576">
        <v>3</v>
      </c>
      <c r="C240" s="578">
        <f t="shared" ref="C240:H240" si="227">P24</f>
        <v>20</v>
      </c>
      <c r="D240" s="578">
        <f t="shared" si="227"/>
        <v>9.9999999999999995E-7</v>
      </c>
      <c r="E240" s="578">
        <f t="shared" si="227"/>
        <v>0.4</v>
      </c>
      <c r="F240" s="578">
        <f t="shared" si="227"/>
        <v>0.3</v>
      </c>
      <c r="G240" s="578">
        <f t="shared" si="227"/>
        <v>0.19999950000000002</v>
      </c>
      <c r="H240" s="578">
        <f t="shared" si="227"/>
        <v>0.34</v>
      </c>
      <c r="J240" s="1001"/>
      <c r="K240" s="576">
        <v>3</v>
      </c>
      <c r="L240" s="576">
        <f t="shared" ref="L240:Q240" si="228">P30</f>
        <v>1</v>
      </c>
      <c r="M240" s="576">
        <f t="shared" si="228"/>
        <v>-1.2E-2</v>
      </c>
      <c r="N240" s="576">
        <f t="shared" si="228"/>
        <v>5.0000000000000001E-3</v>
      </c>
      <c r="O240" s="576">
        <f t="shared" si="228"/>
        <v>9.9999999999999995E-7</v>
      </c>
      <c r="P240" s="576">
        <f t="shared" si="228"/>
        <v>8.5000000000000006E-3</v>
      </c>
      <c r="Q240" s="576">
        <f t="shared" si="228"/>
        <v>1.2E-2</v>
      </c>
    </row>
    <row r="241" spans="1:17" x14ac:dyDescent="0.25">
      <c r="A241" s="1001"/>
      <c r="B241" s="576">
        <v>4</v>
      </c>
      <c r="C241" s="578">
        <f t="shared" ref="C241:H241" si="229">B55</f>
        <v>50</v>
      </c>
      <c r="D241" s="578">
        <f t="shared" si="229"/>
        <v>0.4</v>
      </c>
      <c r="E241" s="578">
        <f t="shared" si="229"/>
        <v>0.5</v>
      </c>
      <c r="F241" s="578">
        <f t="shared" si="229"/>
        <v>0</v>
      </c>
      <c r="G241" s="578">
        <f t="shared" si="229"/>
        <v>4.9999999999999989E-2</v>
      </c>
      <c r="H241" s="578">
        <f t="shared" si="229"/>
        <v>0.85000000000000009</v>
      </c>
      <c r="J241" s="1001"/>
      <c r="K241" s="576">
        <v>4</v>
      </c>
      <c r="L241" s="576">
        <f t="shared" ref="L241:Q241" si="230">B61</f>
        <v>1</v>
      </c>
      <c r="M241" s="576">
        <f t="shared" si="230"/>
        <v>-8.0000000000000002E-3</v>
      </c>
      <c r="N241" s="576">
        <f t="shared" si="230"/>
        <v>-1E-3</v>
      </c>
      <c r="O241" s="576">
        <f t="shared" si="230"/>
        <v>0</v>
      </c>
      <c r="P241" s="576">
        <f t="shared" si="230"/>
        <v>3.5000000000000001E-3</v>
      </c>
      <c r="Q241" s="576">
        <f t="shared" si="230"/>
        <v>1.2E-2</v>
      </c>
    </row>
    <row r="242" spans="1:17" x14ac:dyDescent="0.25">
      <c r="A242" s="1001"/>
      <c r="B242" s="576">
        <v>5</v>
      </c>
      <c r="C242" s="578">
        <f t="shared" ref="C242:H242" si="231">I55</f>
        <v>50</v>
      </c>
      <c r="D242" s="578">
        <f t="shared" si="231"/>
        <v>0.6</v>
      </c>
      <c r="E242" s="578">
        <f t="shared" si="231"/>
        <v>0.4</v>
      </c>
      <c r="F242" s="578">
        <f t="shared" si="231"/>
        <v>0</v>
      </c>
      <c r="G242" s="578">
        <f t="shared" si="231"/>
        <v>9.9999999999999978E-2</v>
      </c>
      <c r="H242" s="578">
        <f t="shared" si="231"/>
        <v>0.85000000000000009</v>
      </c>
      <c r="J242" s="1001"/>
      <c r="K242" s="576">
        <v>5</v>
      </c>
      <c r="L242" s="576">
        <f t="shared" ref="L242:Q242" si="232">I61</f>
        <v>1</v>
      </c>
      <c r="M242" s="576">
        <f t="shared" si="232"/>
        <v>1.7999999999999999E-2</v>
      </c>
      <c r="N242" s="576">
        <f t="shared" si="232"/>
        <v>1.2E-2</v>
      </c>
      <c r="O242" s="576">
        <f t="shared" si="232"/>
        <v>0</v>
      </c>
      <c r="P242" s="576">
        <f t="shared" si="232"/>
        <v>2.9999999999999992E-3</v>
      </c>
      <c r="Q242" s="576">
        <f t="shared" si="232"/>
        <v>1.2E-2</v>
      </c>
    </row>
    <row r="243" spans="1:17" x14ac:dyDescent="0.25">
      <c r="A243" s="1001"/>
      <c r="B243" s="576">
        <v>6</v>
      </c>
      <c r="C243" s="578">
        <f t="shared" ref="C243:H243" si="233">P55</f>
        <v>50</v>
      </c>
      <c r="D243" s="578">
        <f t="shared" si="233"/>
        <v>0.3</v>
      </c>
      <c r="E243" s="578">
        <f t="shared" si="233"/>
        <v>0.3</v>
      </c>
      <c r="F243" s="578">
        <f t="shared" si="233"/>
        <v>0.2</v>
      </c>
      <c r="G243" s="578">
        <f t="shared" si="233"/>
        <v>4.9999999999999989E-2</v>
      </c>
      <c r="H243" s="578">
        <f t="shared" si="233"/>
        <v>0.85000000000000009</v>
      </c>
      <c r="J243" s="1001"/>
      <c r="K243" s="576">
        <v>6</v>
      </c>
      <c r="L243" s="576">
        <f t="shared" ref="L243:Q243" si="234">P61</f>
        <v>1</v>
      </c>
      <c r="M243" s="576">
        <f t="shared" si="234"/>
        <v>-7.0000000000000001E-3</v>
      </c>
      <c r="N243" s="576">
        <f t="shared" si="234"/>
        <v>-1E-3</v>
      </c>
      <c r="O243" s="576">
        <f t="shared" si="234"/>
        <v>8.0000000000000002E-3</v>
      </c>
      <c r="P243" s="576">
        <f t="shared" si="234"/>
        <v>7.4999999999999997E-3</v>
      </c>
      <c r="Q243" s="576">
        <f t="shared" si="234"/>
        <v>1.2E-2</v>
      </c>
    </row>
    <row r="244" spans="1:17" x14ac:dyDescent="0.25">
      <c r="A244" s="1001"/>
      <c r="B244" s="576">
        <v>7</v>
      </c>
      <c r="C244" s="578">
        <f t="shared" ref="C244:H244" si="235">B86</f>
        <v>50</v>
      </c>
      <c r="D244" s="578">
        <f t="shared" si="235"/>
        <v>0.5</v>
      </c>
      <c r="E244" s="578">
        <f t="shared" si="235"/>
        <v>9.9999999999999995E-7</v>
      </c>
      <c r="F244" s="578">
        <f t="shared" si="235"/>
        <v>0.4</v>
      </c>
      <c r="G244" s="578">
        <f t="shared" si="235"/>
        <v>0.24999950000000001</v>
      </c>
      <c r="H244" s="578">
        <f t="shared" si="235"/>
        <v>0.85000000000000009</v>
      </c>
      <c r="J244" s="1001"/>
      <c r="K244" s="576">
        <v>7</v>
      </c>
      <c r="L244" s="576">
        <f t="shared" ref="L244:Q244" si="236">B92</f>
        <v>1</v>
      </c>
      <c r="M244" s="576">
        <f t="shared" si="236"/>
        <v>2E-3</v>
      </c>
      <c r="N244" s="576">
        <f t="shared" si="236"/>
        <v>-2E-3</v>
      </c>
      <c r="O244" s="576">
        <f t="shared" si="236"/>
        <v>1E-3</v>
      </c>
      <c r="P244" s="576">
        <f t="shared" si="236"/>
        <v>2E-3</v>
      </c>
      <c r="Q244" s="576">
        <f t="shared" si="236"/>
        <v>1.2E-2</v>
      </c>
    </row>
    <row r="245" spans="1:17" x14ac:dyDescent="0.25">
      <c r="A245" s="1001"/>
      <c r="B245" s="576">
        <v>8</v>
      </c>
      <c r="C245" s="578">
        <f t="shared" ref="C245:H245" si="237">I86</f>
        <v>50</v>
      </c>
      <c r="D245" s="578">
        <f t="shared" si="237"/>
        <v>0.2</v>
      </c>
      <c r="E245" s="578">
        <f t="shared" si="237"/>
        <v>9.9999999999999995E-7</v>
      </c>
      <c r="F245" s="578">
        <f t="shared" si="237"/>
        <v>0</v>
      </c>
      <c r="G245" s="578">
        <f t="shared" si="237"/>
        <v>9.9999500000000005E-2</v>
      </c>
      <c r="H245" s="578">
        <f t="shared" si="237"/>
        <v>0.85000000000000009</v>
      </c>
      <c r="J245" s="1001"/>
      <c r="K245" s="576">
        <v>8</v>
      </c>
      <c r="L245" s="576">
        <f t="shared" ref="L245:Q245" si="238">I92</f>
        <v>1</v>
      </c>
      <c r="M245" s="576">
        <f t="shared" si="238"/>
        <v>5.0000000000000001E-3</v>
      </c>
      <c r="N245" s="576">
        <f t="shared" si="238"/>
        <v>1E-3</v>
      </c>
      <c r="O245" s="576">
        <f t="shared" si="238"/>
        <v>0</v>
      </c>
      <c r="P245" s="576">
        <f t="shared" si="238"/>
        <v>2E-3</v>
      </c>
      <c r="Q245" s="576">
        <f t="shared" si="238"/>
        <v>1.2E-2</v>
      </c>
    </row>
    <row r="246" spans="1:17" x14ac:dyDescent="0.25">
      <c r="A246" s="1001"/>
      <c r="B246" s="576">
        <v>9</v>
      </c>
      <c r="C246" s="578">
        <f t="shared" ref="C246:H246" si="239">P86</f>
        <v>50</v>
      </c>
      <c r="D246" s="578">
        <f t="shared" si="239"/>
        <v>0.2</v>
      </c>
      <c r="E246" s="578">
        <f t="shared" si="239"/>
        <v>9.9999999999999995E-7</v>
      </c>
      <c r="F246" s="578">
        <f t="shared" si="239"/>
        <v>0</v>
      </c>
      <c r="G246" s="578">
        <f t="shared" si="239"/>
        <v>9.9999500000000005E-2</v>
      </c>
      <c r="H246" s="578">
        <f t="shared" si="239"/>
        <v>0</v>
      </c>
      <c r="J246" s="1001"/>
      <c r="K246" s="576">
        <v>9</v>
      </c>
      <c r="L246" s="576">
        <f t="shared" ref="L246:Q246" si="240">P92</f>
        <v>0.5</v>
      </c>
      <c r="M246" s="576">
        <f t="shared" si="240"/>
        <v>4.0000000000000001E-3</v>
      </c>
      <c r="N246" s="576">
        <f t="shared" si="240"/>
        <v>9.9999999999999995E-7</v>
      </c>
      <c r="O246" s="576">
        <f t="shared" si="240"/>
        <v>0</v>
      </c>
      <c r="P246" s="576">
        <f t="shared" si="240"/>
        <v>1.9995E-3</v>
      </c>
      <c r="Q246" s="576">
        <f t="shared" si="240"/>
        <v>6.0000000000000001E-3</v>
      </c>
    </row>
    <row r="247" spans="1:17" x14ac:dyDescent="0.25">
      <c r="A247" s="1001"/>
      <c r="B247" s="576">
        <v>10</v>
      </c>
      <c r="C247" s="578">
        <f t="shared" ref="C247:H247" si="241">B117</f>
        <v>50</v>
      </c>
      <c r="D247" s="578">
        <f t="shared" si="241"/>
        <v>0.4</v>
      </c>
      <c r="E247" s="578" t="str">
        <f t="shared" si="241"/>
        <v>-</v>
      </c>
      <c r="F247" s="578">
        <f t="shared" si="241"/>
        <v>0</v>
      </c>
      <c r="G247" s="578">
        <f t="shared" si="241"/>
        <v>0</v>
      </c>
      <c r="H247" s="578" t="str">
        <f t="shared" si="241"/>
        <v>-</v>
      </c>
      <c r="J247" s="1001"/>
      <c r="K247" s="576">
        <v>10</v>
      </c>
      <c r="L247" s="576">
        <f t="shared" ref="L247:Q247" si="242">B123</f>
        <v>1</v>
      </c>
      <c r="M247" s="576">
        <f t="shared" si="242"/>
        <v>-8.0000000000000002E-3</v>
      </c>
      <c r="N247" s="576" t="str">
        <f t="shared" si="242"/>
        <v>-</v>
      </c>
      <c r="O247" s="576">
        <f t="shared" si="242"/>
        <v>0</v>
      </c>
      <c r="P247" s="576">
        <f t="shared" si="242"/>
        <v>0</v>
      </c>
      <c r="Q247" s="576" t="str">
        <f t="shared" si="242"/>
        <v>-</v>
      </c>
    </row>
    <row r="248" spans="1:17" x14ac:dyDescent="0.25">
      <c r="A248" s="1001"/>
      <c r="B248" s="576">
        <v>11</v>
      </c>
      <c r="C248" s="578">
        <f t="shared" ref="C248:H248" si="243">I117</f>
        <v>50</v>
      </c>
      <c r="D248" s="578">
        <f t="shared" si="243"/>
        <v>9.9999999999999995E-7</v>
      </c>
      <c r="E248" s="578" t="str">
        <f t="shared" si="243"/>
        <v>-</v>
      </c>
      <c r="F248" s="578">
        <f t="shared" si="243"/>
        <v>0</v>
      </c>
      <c r="G248" s="578">
        <f t="shared" si="243"/>
        <v>0</v>
      </c>
      <c r="H248" s="578" t="str">
        <f t="shared" si="243"/>
        <v>-</v>
      </c>
      <c r="J248" s="1001"/>
      <c r="K248" s="576">
        <v>11</v>
      </c>
      <c r="L248" s="576">
        <f t="shared" ref="L248:Q248" si="244">I123</f>
        <v>1</v>
      </c>
      <c r="M248" s="576">
        <f t="shared" si="244"/>
        <v>9.9999999999999995E-7</v>
      </c>
      <c r="N248" s="576" t="str">
        <f t="shared" si="244"/>
        <v>-</v>
      </c>
      <c r="O248" s="576">
        <f t="shared" si="244"/>
        <v>0</v>
      </c>
      <c r="P248" s="576">
        <f t="shared" si="244"/>
        <v>0</v>
      </c>
      <c r="Q248" s="576" t="str">
        <f t="shared" si="244"/>
        <v>-</v>
      </c>
    </row>
    <row r="249" spans="1:17" x14ac:dyDescent="0.25">
      <c r="A249" s="1001"/>
      <c r="B249" s="576">
        <v>12</v>
      </c>
      <c r="C249" s="578">
        <f t="shared" ref="C249:H249" si="245">P117</f>
        <v>50</v>
      </c>
      <c r="D249" s="578">
        <f t="shared" si="245"/>
        <v>9.9999999999999995E-7</v>
      </c>
      <c r="E249" s="578" t="str">
        <f t="shared" si="245"/>
        <v>-</v>
      </c>
      <c r="F249" s="578">
        <f t="shared" si="245"/>
        <v>0</v>
      </c>
      <c r="G249" s="578">
        <f t="shared" si="245"/>
        <v>0</v>
      </c>
      <c r="H249" s="578" t="str">
        <f t="shared" si="245"/>
        <v>-</v>
      </c>
      <c r="J249" s="1001"/>
      <c r="K249" s="576">
        <v>12</v>
      </c>
      <c r="L249" s="576">
        <f t="shared" ref="L249:Q249" si="246">P123</f>
        <v>1</v>
      </c>
      <c r="M249" s="576">
        <f t="shared" si="246"/>
        <v>9.9999999999999995E-7</v>
      </c>
      <c r="N249" s="576" t="str">
        <f t="shared" si="246"/>
        <v>-</v>
      </c>
      <c r="O249" s="576">
        <f t="shared" si="246"/>
        <v>0</v>
      </c>
      <c r="P249" s="576">
        <f t="shared" si="246"/>
        <v>0</v>
      </c>
      <c r="Q249" s="576" t="str">
        <f t="shared" si="246"/>
        <v>-</v>
      </c>
    </row>
    <row r="250" spans="1:17" s="435" customFormat="1" x14ac:dyDescent="0.25">
      <c r="A250" s="582"/>
      <c r="B250" s="34"/>
      <c r="C250" s="43"/>
      <c r="D250" s="43"/>
      <c r="E250" s="43"/>
      <c r="F250" s="455"/>
      <c r="G250" s="43"/>
      <c r="H250" s="43"/>
      <c r="J250" s="582"/>
      <c r="K250" s="34"/>
      <c r="L250" s="34"/>
      <c r="M250" s="34"/>
      <c r="N250" s="34"/>
      <c r="O250" s="455"/>
      <c r="P250" s="34"/>
      <c r="Q250" s="34"/>
    </row>
    <row r="251" spans="1:17" x14ac:dyDescent="0.25">
      <c r="A251" s="1001" t="s">
        <v>53</v>
      </c>
      <c r="B251" s="576">
        <v>1</v>
      </c>
      <c r="C251" s="578">
        <f t="shared" ref="C251:H251" si="247">B25</f>
        <v>100</v>
      </c>
      <c r="D251" s="578">
        <f t="shared" si="247"/>
        <v>9.9999999999999995E-7</v>
      </c>
      <c r="E251" s="578">
        <f t="shared" si="247"/>
        <v>9.9999999999999995E-7</v>
      </c>
      <c r="F251" s="578">
        <f t="shared" si="247"/>
        <v>0</v>
      </c>
      <c r="G251" s="578">
        <f t="shared" si="247"/>
        <v>0</v>
      </c>
      <c r="H251" s="578">
        <f t="shared" si="247"/>
        <v>0</v>
      </c>
      <c r="J251" s="1001" t="s">
        <v>53</v>
      </c>
      <c r="K251" s="576">
        <v>1</v>
      </c>
      <c r="L251" s="576">
        <f t="shared" ref="L251:Q251" si="248">B31</f>
        <v>2</v>
      </c>
      <c r="M251" s="576">
        <f t="shared" si="248"/>
        <v>7.0000000000000001E-3</v>
      </c>
      <c r="N251" s="576">
        <f t="shared" si="248"/>
        <v>9.9999999999999995E-7</v>
      </c>
      <c r="O251" s="576">
        <f t="shared" si="248"/>
        <v>0</v>
      </c>
      <c r="P251" s="576">
        <f t="shared" si="248"/>
        <v>3.4995E-3</v>
      </c>
      <c r="Q251" s="576">
        <f t="shared" si="248"/>
        <v>2.4E-2</v>
      </c>
    </row>
    <row r="252" spans="1:17" x14ac:dyDescent="0.25">
      <c r="A252" s="1001"/>
      <c r="B252" s="576">
        <v>2</v>
      </c>
      <c r="C252" s="578">
        <f t="shared" ref="C252:H252" si="249">I25</f>
        <v>100</v>
      </c>
      <c r="D252" s="578">
        <f t="shared" si="249"/>
        <v>0.3</v>
      </c>
      <c r="E252" s="578">
        <f t="shared" si="249"/>
        <v>9.9999999999999995E-7</v>
      </c>
      <c r="F252" s="578">
        <f t="shared" si="249"/>
        <v>0</v>
      </c>
      <c r="G252" s="578">
        <f t="shared" si="249"/>
        <v>0.14999950000000001</v>
      </c>
      <c r="H252" s="578">
        <f t="shared" si="249"/>
        <v>0.59</v>
      </c>
      <c r="J252" s="1001"/>
      <c r="K252" s="576">
        <v>2</v>
      </c>
      <c r="L252" s="576">
        <f t="shared" ref="L252:Q252" si="250">I31</f>
        <v>2</v>
      </c>
      <c r="M252" s="576">
        <f t="shared" si="250"/>
        <v>9.9999999999999995E-7</v>
      </c>
      <c r="N252" s="576">
        <f t="shared" si="250"/>
        <v>9.9999999999999995E-7</v>
      </c>
      <c r="O252" s="576">
        <f t="shared" si="250"/>
        <v>0</v>
      </c>
      <c r="P252" s="576">
        <f t="shared" si="250"/>
        <v>0</v>
      </c>
      <c r="Q252" s="576">
        <f t="shared" si="250"/>
        <v>0</v>
      </c>
    </row>
    <row r="253" spans="1:17" x14ac:dyDescent="0.25">
      <c r="A253" s="1001"/>
      <c r="B253" s="576">
        <v>3</v>
      </c>
      <c r="C253" s="578">
        <f t="shared" ref="C253:H253" si="251">P25</f>
        <v>50</v>
      </c>
      <c r="D253" s="578">
        <f t="shared" si="251"/>
        <v>0.1</v>
      </c>
      <c r="E253" s="578">
        <f t="shared" si="251"/>
        <v>1.1000000000000001</v>
      </c>
      <c r="F253" s="578">
        <f t="shared" si="251"/>
        <v>0.6</v>
      </c>
      <c r="G253" s="578">
        <f t="shared" si="251"/>
        <v>0.5</v>
      </c>
      <c r="H253" s="578">
        <f t="shared" si="251"/>
        <v>0.85000000000000009</v>
      </c>
      <c r="J253" s="1001"/>
      <c r="K253" s="576">
        <v>3</v>
      </c>
      <c r="L253" s="576">
        <f t="shared" ref="L253:Q253" si="252">P31</f>
        <v>2</v>
      </c>
      <c r="M253" s="576">
        <f t="shared" si="252"/>
        <v>-8.0000000000000002E-3</v>
      </c>
      <c r="N253" s="576">
        <f t="shared" si="252"/>
        <v>1.4E-2</v>
      </c>
      <c r="O253" s="576">
        <f t="shared" si="252"/>
        <v>9.9999999999999995E-7</v>
      </c>
      <c r="P253" s="576">
        <f t="shared" si="252"/>
        <v>1.0999999999999999E-2</v>
      </c>
      <c r="Q253" s="576">
        <f t="shared" si="252"/>
        <v>2.4E-2</v>
      </c>
    </row>
    <row r="254" spans="1:17" x14ac:dyDescent="0.25">
      <c r="A254" s="1001"/>
      <c r="B254" s="576">
        <v>4</v>
      </c>
      <c r="C254" s="578">
        <f t="shared" ref="C254:H254" si="253">B56</f>
        <v>100</v>
      </c>
      <c r="D254" s="578">
        <f t="shared" si="253"/>
        <v>1.4</v>
      </c>
      <c r="E254" s="578">
        <f t="shared" si="253"/>
        <v>1</v>
      </c>
      <c r="F254" s="578">
        <f t="shared" si="253"/>
        <v>0</v>
      </c>
      <c r="G254" s="578">
        <f t="shared" si="253"/>
        <v>0.19999999999999996</v>
      </c>
      <c r="H254" s="578">
        <f t="shared" si="253"/>
        <v>1.7000000000000002</v>
      </c>
      <c r="J254" s="1001"/>
      <c r="K254" s="576">
        <v>4</v>
      </c>
      <c r="L254" s="576">
        <f t="shared" ref="L254:Q254" si="254">B62</f>
        <v>2</v>
      </c>
      <c r="M254" s="576">
        <f t="shared" si="254"/>
        <v>-7.0000000000000001E-3</v>
      </c>
      <c r="N254" s="576">
        <f t="shared" si="254"/>
        <v>9.9999999999999995E-7</v>
      </c>
      <c r="O254" s="576">
        <f t="shared" si="254"/>
        <v>0</v>
      </c>
      <c r="P254" s="576">
        <f t="shared" si="254"/>
        <v>3.5005000000000001E-3</v>
      </c>
      <c r="Q254" s="576">
        <f t="shared" si="254"/>
        <v>2.4E-2</v>
      </c>
    </row>
    <row r="255" spans="1:17" x14ac:dyDescent="0.25">
      <c r="A255" s="1001"/>
      <c r="B255" s="576">
        <v>5</v>
      </c>
      <c r="C255" s="578">
        <f t="shared" ref="C255:H255" si="255">I56</f>
        <v>100</v>
      </c>
      <c r="D255" s="578">
        <f t="shared" si="255"/>
        <v>1.5</v>
      </c>
      <c r="E255" s="578">
        <f t="shared" si="255"/>
        <v>0.8</v>
      </c>
      <c r="F255" s="578">
        <f t="shared" si="255"/>
        <v>0</v>
      </c>
      <c r="G255" s="578">
        <f t="shared" si="255"/>
        <v>0.35</v>
      </c>
      <c r="H255" s="578">
        <f t="shared" si="255"/>
        <v>1.7000000000000002</v>
      </c>
      <c r="J255" s="1001"/>
      <c r="K255" s="576">
        <v>5</v>
      </c>
      <c r="L255" s="576">
        <f t="shared" ref="L255:Q255" si="256">I62</f>
        <v>2</v>
      </c>
      <c r="M255" s="576">
        <f t="shared" si="256"/>
        <v>0.113</v>
      </c>
      <c r="N255" s="576">
        <f t="shared" si="256"/>
        <v>9.9999999999999995E-7</v>
      </c>
      <c r="O255" s="576">
        <f t="shared" si="256"/>
        <v>0</v>
      </c>
      <c r="P255" s="576">
        <f t="shared" si="256"/>
        <v>5.6499500000000001E-2</v>
      </c>
      <c r="Q255" s="576">
        <f t="shared" si="256"/>
        <v>2.4E-2</v>
      </c>
    </row>
    <row r="256" spans="1:17" x14ac:dyDescent="0.25">
      <c r="A256" s="1001"/>
      <c r="B256" s="576">
        <v>6</v>
      </c>
      <c r="C256" s="578">
        <f t="shared" ref="C256:H256" si="257">P56</f>
        <v>100</v>
      </c>
      <c r="D256" s="578">
        <f t="shared" si="257"/>
        <v>0.6</v>
      </c>
      <c r="E256" s="578">
        <f t="shared" si="257"/>
        <v>0.6</v>
      </c>
      <c r="F256" s="578">
        <f t="shared" si="257"/>
        <v>0.7</v>
      </c>
      <c r="G256" s="578">
        <f t="shared" si="257"/>
        <v>4.9999999999999989E-2</v>
      </c>
      <c r="H256" s="578">
        <f t="shared" si="257"/>
        <v>1.7000000000000002</v>
      </c>
      <c r="J256" s="1001"/>
      <c r="K256" s="576">
        <v>6</v>
      </c>
      <c r="L256" s="576">
        <f t="shared" ref="L256:Q256" si="258">P62</f>
        <v>2</v>
      </c>
      <c r="M256" s="576">
        <f t="shared" si="258"/>
        <v>-7.0000000000000001E-3</v>
      </c>
      <c r="N256" s="576">
        <f t="shared" si="258"/>
        <v>9.9999999999999995E-7</v>
      </c>
      <c r="O256" s="576">
        <f t="shared" si="258"/>
        <v>9.9999999999999995E-7</v>
      </c>
      <c r="P256" s="576">
        <f t="shared" si="258"/>
        <v>3.5005000000000001E-3</v>
      </c>
      <c r="Q256" s="576">
        <f t="shared" si="258"/>
        <v>0</v>
      </c>
    </row>
    <row r="257" spans="1:20" x14ac:dyDescent="0.25">
      <c r="A257" s="1001"/>
      <c r="B257" s="576">
        <v>7</v>
      </c>
      <c r="C257" s="578">
        <f t="shared" ref="C257:H257" si="259">B87</f>
        <v>100</v>
      </c>
      <c r="D257" s="578">
        <f t="shared" si="259"/>
        <v>0.9</v>
      </c>
      <c r="E257" s="578">
        <f t="shared" si="259"/>
        <v>9.9999999999999995E-7</v>
      </c>
      <c r="F257" s="578">
        <f t="shared" si="259"/>
        <v>1.4</v>
      </c>
      <c r="G257" s="578">
        <f t="shared" si="259"/>
        <v>0.6999995</v>
      </c>
      <c r="H257" s="578">
        <f t="shared" si="259"/>
        <v>1.7000000000000002</v>
      </c>
      <c r="J257" s="1001"/>
      <c r="K257" s="576">
        <v>7</v>
      </c>
      <c r="L257" s="576">
        <f t="shared" ref="L257:Q257" si="260">B93</f>
        <v>2</v>
      </c>
      <c r="M257" s="576">
        <f t="shared" si="260"/>
        <v>-1E-3</v>
      </c>
      <c r="N257" s="576">
        <f t="shared" si="260"/>
        <v>9.9999999999999995E-7</v>
      </c>
      <c r="O257" s="576">
        <f t="shared" si="260"/>
        <v>9.9999999999999995E-7</v>
      </c>
      <c r="P257" s="576">
        <f t="shared" si="260"/>
        <v>5.0049999999999997E-4</v>
      </c>
      <c r="Q257" s="576">
        <f t="shared" si="260"/>
        <v>2.4E-2</v>
      </c>
    </row>
    <row r="258" spans="1:20" x14ac:dyDescent="0.25">
      <c r="A258" s="1001"/>
      <c r="B258" s="576">
        <v>8</v>
      </c>
      <c r="C258" s="578">
        <f t="shared" ref="C258:H258" si="261">I87</f>
        <v>100</v>
      </c>
      <c r="D258" s="578">
        <f t="shared" si="261"/>
        <v>0.4</v>
      </c>
      <c r="E258" s="578">
        <f t="shared" si="261"/>
        <v>9.9999999999999995E-7</v>
      </c>
      <c r="F258" s="578">
        <f t="shared" si="261"/>
        <v>0</v>
      </c>
      <c r="G258" s="578">
        <f t="shared" si="261"/>
        <v>0.19999950000000002</v>
      </c>
      <c r="H258" s="578">
        <f t="shared" si="261"/>
        <v>1.7000000000000002</v>
      </c>
      <c r="J258" s="1001"/>
      <c r="K258" s="576">
        <v>8</v>
      </c>
      <c r="L258" s="576">
        <f t="shared" ref="L258:Q258" si="262">I93</f>
        <v>2</v>
      </c>
      <c r="M258" s="576">
        <f t="shared" si="262"/>
        <v>5.0000000000000001E-3</v>
      </c>
      <c r="N258" s="576">
        <f t="shared" si="262"/>
        <v>-1E-3</v>
      </c>
      <c r="O258" s="576">
        <f t="shared" si="262"/>
        <v>0</v>
      </c>
      <c r="P258" s="576">
        <f t="shared" si="262"/>
        <v>3.0000000000000001E-3</v>
      </c>
      <c r="Q258" s="576">
        <f t="shared" si="262"/>
        <v>2.4E-2</v>
      </c>
    </row>
    <row r="259" spans="1:20" x14ac:dyDescent="0.25">
      <c r="A259" s="1001"/>
      <c r="B259" s="576">
        <v>9</v>
      </c>
      <c r="C259" s="578">
        <f t="shared" ref="C259:H259" si="263">P87</f>
        <v>100</v>
      </c>
      <c r="D259" s="578">
        <f t="shared" si="263"/>
        <v>0.6</v>
      </c>
      <c r="E259" s="578">
        <f t="shared" si="263"/>
        <v>9.9999999999999995E-7</v>
      </c>
      <c r="F259" s="578">
        <f t="shared" si="263"/>
        <v>0</v>
      </c>
      <c r="G259" s="578">
        <f t="shared" si="263"/>
        <v>0.29999949999999997</v>
      </c>
      <c r="H259" s="578">
        <f t="shared" si="263"/>
        <v>0</v>
      </c>
      <c r="J259" s="1001"/>
      <c r="K259" s="576">
        <v>9</v>
      </c>
      <c r="L259" s="576">
        <f t="shared" ref="L259:Q259" si="264">P93</f>
        <v>1</v>
      </c>
      <c r="M259" s="576">
        <f t="shared" si="264"/>
        <v>0</v>
      </c>
      <c r="N259" s="576">
        <f t="shared" si="264"/>
        <v>-1E-3</v>
      </c>
      <c r="O259" s="576">
        <f t="shared" si="264"/>
        <v>0</v>
      </c>
      <c r="P259" s="576">
        <f t="shared" si="264"/>
        <v>5.0000000000000001E-4</v>
      </c>
      <c r="Q259" s="576">
        <f t="shared" si="264"/>
        <v>1.2E-2</v>
      </c>
    </row>
    <row r="260" spans="1:20" x14ac:dyDescent="0.25">
      <c r="A260" s="1001"/>
      <c r="B260" s="576">
        <v>10</v>
      </c>
      <c r="C260" s="578">
        <f t="shared" ref="C260:H260" si="265">B118</f>
        <v>100</v>
      </c>
      <c r="D260" s="578">
        <f t="shared" si="265"/>
        <v>1.4</v>
      </c>
      <c r="E260" s="578" t="str">
        <f t="shared" si="265"/>
        <v>-</v>
      </c>
      <c r="F260" s="578">
        <f t="shared" si="265"/>
        <v>0</v>
      </c>
      <c r="G260" s="578">
        <f t="shared" si="265"/>
        <v>0</v>
      </c>
      <c r="H260" s="578" t="str">
        <f t="shared" si="265"/>
        <v>-</v>
      </c>
      <c r="J260" s="1001"/>
      <c r="K260" s="576">
        <v>10</v>
      </c>
      <c r="L260" s="576">
        <f t="shared" ref="L260:Q260" si="266">B124</f>
        <v>2</v>
      </c>
      <c r="M260" s="576">
        <f t="shared" si="266"/>
        <v>-7.0000000000000001E-3</v>
      </c>
      <c r="N260" s="576" t="str">
        <f t="shared" si="266"/>
        <v>-</v>
      </c>
      <c r="O260" s="576">
        <f t="shared" si="266"/>
        <v>0</v>
      </c>
      <c r="P260" s="576">
        <f t="shared" si="266"/>
        <v>0</v>
      </c>
      <c r="Q260" s="576" t="str">
        <f t="shared" si="266"/>
        <v>-</v>
      </c>
    </row>
    <row r="261" spans="1:20" x14ac:dyDescent="0.25">
      <c r="A261" s="1001"/>
      <c r="B261" s="576">
        <v>11</v>
      </c>
      <c r="C261" s="578">
        <f t="shared" ref="C261:H261" si="267">I118</f>
        <v>100</v>
      </c>
      <c r="D261" s="578">
        <f t="shared" si="267"/>
        <v>9.9999999999999995E-7</v>
      </c>
      <c r="E261" s="578" t="str">
        <f t="shared" si="267"/>
        <v>-</v>
      </c>
      <c r="F261" s="578">
        <f t="shared" si="267"/>
        <v>0</v>
      </c>
      <c r="G261" s="578">
        <f t="shared" si="267"/>
        <v>0</v>
      </c>
      <c r="H261" s="578" t="str">
        <f t="shared" si="267"/>
        <v>-</v>
      </c>
      <c r="J261" s="1001"/>
      <c r="K261" s="576">
        <v>11</v>
      </c>
      <c r="L261" s="576">
        <f t="shared" ref="L261:Q261" si="268">I124</f>
        <v>2</v>
      </c>
      <c r="M261" s="576">
        <f t="shared" si="268"/>
        <v>9.9999999999999995E-7</v>
      </c>
      <c r="N261" s="576" t="str">
        <f t="shared" si="268"/>
        <v>-</v>
      </c>
      <c r="O261" s="576">
        <f t="shared" si="268"/>
        <v>0</v>
      </c>
      <c r="P261" s="576">
        <f t="shared" si="268"/>
        <v>0</v>
      </c>
      <c r="Q261" s="576" t="str">
        <f t="shared" si="268"/>
        <v>-</v>
      </c>
    </row>
    <row r="262" spans="1:20" x14ac:dyDescent="0.25">
      <c r="A262" s="1001"/>
      <c r="B262" s="576">
        <v>12</v>
      </c>
      <c r="C262" s="578">
        <f t="shared" ref="C262:H262" si="269">P118</f>
        <v>100</v>
      </c>
      <c r="D262" s="578">
        <f t="shared" si="269"/>
        <v>9.9999999999999995E-7</v>
      </c>
      <c r="E262" s="578" t="str">
        <f t="shared" si="269"/>
        <v>-</v>
      </c>
      <c r="F262" s="578">
        <f t="shared" si="269"/>
        <v>0</v>
      </c>
      <c r="G262" s="578">
        <f t="shared" si="269"/>
        <v>0</v>
      </c>
      <c r="H262" s="578" t="str">
        <f t="shared" si="269"/>
        <v>-</v>
      </c>
      <c r="J262" s="1001"/>
      <c r="K262" s="576">
        <v>12</v>
      </c>
      <c r="L262" s="576">
        <f t="shared" ref="L262:Q262" si="270">P124</f>
        <v>2</v>
      </c>
      <c r="M262" s="576">
        <f t="shared" si="270"/>
        <v>9.9999999999999995E-7</v>
      </c>
      <c r="N262" s="576" t="str">
        <f t="shared" si="270"/>
        <v>-</v>
      </c>
      <c r="O262" s="576">
        <f t="shared" si="270"/>
        <v>0</v>
      </c>
      <c r="P262" s="576">
        <f t="shared" si="270"/>
        <v>0</v>
      </c>
      <c r="Q262" s="576" t="str">
        <f t="shared" si="270"/>
        <v>-</v>
      </c>
    </row>
    <row r="263" spans="1:20" s="435" customFormat="1" x14ac:dyDescent="0.25">
      <c r="A263" s="583"/>
      <c r="B263" s="42"/>
      <c r="C263" s="39"/>
      <c r="D263" s="39"/>
      <c r="E263" s="39"/>
      <c r="F263" s="39"/>
      <c r="G263" s="39"/>
      <c r="H263" s="432"/>
      <c r="I263" s="583"/>
      <c r="J263" s="42"/>
      <c r="K263" s="42"/>
      <c r="L263" s="42"/>
      <c r="M263" s="42"/>
      <c r="N263" s="42"/>
      <c r="O263" s="42"/>
      <c r="P263" s="432"/>
      <c r="Q263" s="432"/>
    </row>
    <row r="264" spans="1:20" ht="13" thickBot="1" x14ac:dyDescent="0.3">
      <c r="A264" s="566"/>
      <c r="B264" s="567"/>
      <c r="C264" s="567"/>
      <c r="D264" s="447"/>
      <c r="E264" s="447"/>
      <c r="F264" s="447"/>
      <c r="G264" s="447"/>
      <c r="H264" s="447"/>
      <c r="P264" s="447"/>
      <c r="Q264" s="447"/>
    </row>
    <row r="265" spans="1:20" ht="43.5" customHeight="1" x14ac:dyDescent="0.25">
      <c r="A265" s="584">
        <f>A311</f>
        <v>8</v>
      </c>
      <c r="B265" s="1002" t="str">
        <f>A298</f>
        <v>Electrical Safety Analyzer, Merek : Fluke, Model : ESA 615, SN : 4669058</v>
      </c>
      <c r="C265" s="1002"/>
      <c r="D265" s="1002"/>
      <c r="E265" s="1002"/>
      <c r="F265" s="1002"/>
      <c r="H265" s="639" t="s">
        <v>245</v>
      </c>
      <c r="I265" s="456" t="s">
        <v>246</v>
      </c>
      <c r="J265" s="456" t="s">
        <v>247</v>
      </c>
      <c r="K265" s="456" t="s">
        <v>248</v>
      </c>
      <c r="L265" s="640" t="s">
        <v>249</v>
      </c>
      <c r="M265" s="1003" t="s">
        <v>185</v>
      </c>
      <c r="N265" s="1006" t="s">
        <v>250</v>
      </c>
      <c r="O265" s="1009" t="s">
        <v>251</v>
      </c>
      <c r="Q265" s="69"/>
      <c r="R265" s="69"/>
      <c r="S265" s="69"/>
      <c r="T265" s="69"/>
    </row>
    <row r="266" spans="1:20" ht="14.5" customHeight="1" thickBot="1" x14ac:dyDescent="0.3">
      <c r="A266" s="1012" t="s">
        <v>219</v>
      </c>
      <c r="B266" s="1012"/>
      <c r="C266" s="1012"/>
      <c r="D266" s="1012"/>
      <c r="E266" s="1012"/>
      <c r="F266" s="1012"/>
      <c r="H266" s="641">
        <f>IF(M268="-","-",FORECAST(M268,B269:B274,A269:A274))</f>
        <v>-0.15104298727735371</v>
      </c>
      <c r="I266" s="642" t="str">
        <f>IF(M269="OL","OL",IF(M269="-","-",FORECAST(M269,B285:B288,A285:A288)))</f>
        <v>-</v>
      </c>
      <c r="J266" s="642" t="str">
        <f>IF(M270="-","-",FORECAST(M270,B291:B294,A291:A294))</f>
        <v>-</v>
      </c>
      <c r="K266" s="642" t="str">
        <f>IF(M271="-","-",FORECAST(M271,B277:B282,A277:A282))</f>
        <v>-</v>
      </c>
      <c r="L266" s="643" t="str">
        <f>IF(M272="-","-",FORECAST(M272,B277:B282,A277:A282))</f>
        <v>-</v>
      </c>
      <c r="M266" s="1004"/>
      <c r="N266" s="1007"/>
      <c r="O266" s="1010"/>
      <c r="Q266" s="69"/>
      <c r="R266" s="69"/>
      <c r="S266" s="69"/>
      <c r="T266" s="69"/>
    </row>
    <row r="267" spans="1:20" ht="13.5" thickBot="1" x14ac:dyDescent="0.3">
      <c r="A267" s="1013" t="str">
        <f>B4</f>
        <v>Setting VAC</v>
      </c>
      <c r="B267" s="1013"/>
      <c r="C267" s="1013"/>
      <c r="D267" s="1013"/>
      <c r="E267" s="1013" t="s">
        <v>221</v>
      </c>
      <c r="F267" s="1013" t="s">
        <v>222</v>
      </c>
      <c r="H267" s="69"/>
      <c r="I267" s="69"/>
      <c r="J267" s="69"/>
      <c r="K267" s="69"/>
      <c r="L267" s="432"/>
      <c r="M267" s="1005"/>
      <c r="N267" s="1008"/>
      <c r="O267" s="1011"/>
      <c r="Q267" s="69"/>
      <c r="R267" s="69"/>
      <c r="S267" s="69"/>
      <c r="T267" s="69"/>
    </row>
    <row r="268" spans="1:20" ht="31.5" x14ac:dyDescent="0.25">
      <c r="A268" s="439" t="s">
        <v>223</v>
      </c>
      <c r="B268" s="585">
        <f>VLOOKUP(B265,A299:L310,9,FALSE)</f>
        <v>2022</v>
      </c>
      <c r="C268" s="585">
        <f>VLOOKUP(B265,A299:L310,10,FALSE)</f>
        <v>2020</v>
      </c>
      <c r="D268" s="585">
        <f>VLOOKUP(B265,A299:L310,11,FALSE)</f>
        <v>2016</v>
      </c>
      <c r="E268" s="1013"/>
      <c r="F268" s="1013"/>
      <c r="H268" s="454" t="s">
        <v>252</v>
      </c>
      <c r="I268" s="454" t="s">
        <v>253</v>
      </c>
      <c r="J268" s="69"/>
      <c r="K268" s="69"/>
      <c r="L268" s="432"/>
      <c r="M268" s="586">
        <f>ID!E18</f>
        <v>220</v>
      </c>
      <c r="N268" s="587">
        <f>M268+H266</f>
        <v>219.84895701272265</v>
      </c>
      <c r="O268" s="588">
        <f>IF(M268="-","-",IF(M268=M268,N268,))</f>
        <v>219.84895701272265</v>
      </c>
      <c r="Q268" s="69"/>
      <c r="R268" s="69"/>
      <c r="S268" s="69"/>
      <c r="T268" s="69"/>
    </row>
    <row r="269" spans="1:20" ht="15.5" x14ac:dyDescent="0.25">
      <c r="A269" s="296">
        <f>VLOOKUP($A265,$B131:$H142,2,(FALSE))</f>
        <v>150</v>
      </c>
      <c r="B269" s="299">
        <f>VLOOKUP($A$265,$B$131:$H$142,3,(FALSE))</f>
        <v>-0.17</v>
      </c>
      <c r="C269" s="299">
        <f>VLOOKUP($A$265,$B$131:$H$142,4,(FALSE))</f>
        <v>-0.24</v>
      </c>
      <c r="D269" s="299">
        <f>VLOOKUP($A$265,$B$131:$H$142,5,(FALSE))</f>
        <v>0</v>
      </c>
      <c r="E269" s="299">
        <f>VLOOKUP($A$265,$B$131:$H$142,6,(FALSE))</f>
        <v>3.4999999999999989E-2</v>
      </c>
      <c r="F269" s="296">
        <f>VLOOKUP($A$265,$B$131:$H$142,7,(FALSE))</f>
        <v>1.8</v>
      </c>
      <c r="H269" s="589">
        <f>FORECAST(M273,B277:B282,A277:A282)</f>
        <v>6.1825064960817429</v>
      </c>
      <c r="I269" s="589">
        <f>IF(M268="-","",FORECAST(N268,F269:F274,A269:A274))</f>
        <v>2.638187484152672</v>
      </c>
      <c r="J269" s="443">
        <f>IFERROR(I269,"-")</f>
        <v>2.638187484152672</v>
      </c>
      <c r="K269" s="443"/>
      <c r="L269" s="432"/>
      <c r="M269" s="590" t="str">
        <f>ID!I27</f>
        <v>-</v>
      </c>
      <c r="N269" s="823" t="str">
        <f>IFERROR((M269+I266),"-")</f>
        <v>-</v>
      </c>
      <c r="O269" s="591" t="str">
        <f>IF(M269="OL","OL",IF(M269="NC","NC",IF(M269="OR","OR",IFERROR(N269,"-"))))</f>
        <v>-</v>
      </c>
      <c r="Q269" s="447"/>
      <c r="R269" s="592"/>
    </row>
    <row r="270" spans="1:20" ht="14.5" thickBot="1" x14ac:dyDescent="0.3">
      <c r="A270" s="297">
        <f>VLOOKUP($A$265,$B$144:$H$155,2,(FALSE))</f>
        <v>180</v>
      </c>
      <c r="B270" s="593">
        <f>VLOOKUP($A$265,$B$144:$H$155,3,(FALSE))</f>
        <v>-0.39</v>
      </c>
      <c r="C270" s="593">
        <f>VLOOKUP($A$265,$B$144:$H$155,4,(FALSE))</f>
        <v>-0.14000000000000001</v>
      </c>
      <c r="D270" s="593">
        <f>VLOOKUP($A$265,$B$144:$H$155,5,(FALSE))</f>
        <v>0</v>
      </c>
      <c r="E270" s="593">
        <f>VLOOKUP($A$265,$B$144:$H$155,6,(FALSE))</f>
        <v>0.125</v>
      </c>
      <c r="F270" s="296">
        <f>VLOOKUP($A$265,$B$144:$H$155,7,(FALSE))</f>
        <v>2.16</v>
      </c>
      <c r="H270" s="69"/>
      <c r="I270" s="69"/>
      <c r="J270" s="69"/>
      <c r="K270" s="69"/>
      <c r="L270" s="432"/>
      <c r="M270" s="590" t="str">
        <f>ID!I28</f>
        <v>-</v>
      </c>
      <c r="N270" s="823" t="str">
        <f>IFERROR((M270+J266),"-")</f>
        <v>-</v>
      </c>
      <c r="O270" s="591" t="str">
        <f>IF(M270="OL","OL",IF(M270="NC","NC",IF(M270="OR","OR",IFERROR(N270,"-"))))</f>
        <v>-</v>
      </c>
    </row>
    <row r="271" spans="1:20" ht="14" x14ac:dyDescent="0.25">
      <c r="A271" s="297">
        <f>VLOOKUP($A$265,$B$157:$H$168,2,(FALSE))</f>
        <v>200</v>
      </c>
      <c r="B271" s="593">
        <f>VLOOKUP($A$265,$B$157:$H$168,3,(FALSE))</f>
        <v>-0.23</v>
      </c>
      <c r="C271" s="593">
        <f>VLOOKUP($A$265,$B$157:$H$168,4,(FALSE))</f>
        <v>-0.33</v>
      </c>
      <c r="D271" s="593">
        <f>VLOOKUP($A$265,$B$157:$H$168,5,(FALSE))</f>
        <v>0</v>
      </c>
      <c r="E271" s="593">
        <f>VLOOKUP($A$265,$B$157:$H$168,6,(FALSE))</f>
        <v>0.05</v>
      </c>
      <c r="F271" s="296">
        <f>VLOOKUP($A$265,$B$157:$H$168,7,(FALSE))</f>
        <v>2.4</v>
      </c>
      <c r="H271" s="1021" t="s">
        <v>196</v>
      </c>
      <c r="I271" s="1022"/>
      <c r="J271" s="1023"/>
      <c r="K271" s="69"/>
      <c r="L271" s="594" t="s">
        <v>254</v>
      </c>
      <c r="M271" s="595" t="str">
        <f>ID!I29</f>
        <v>-</v>
      </c>
      <c r="N271" s="823" t="str">
        <f>IFERROR((M271+K266),"-")</f>
        <v>-</v>
      </c>
      <c r="O271" s="644" t="str">
        <f>IFERROR(N271,"-")</f>
        <v>-</v>
      </c>
      <c r="P271" s="447"/>
    </row>
    <row r="272" spans="1:20" ht="15.5" x14ac:dyDescent="0.25">
      <c r="A272" s="34">
        <f>VLOOKUP($A$265,$B$170:$H$181,2,(FALSE))</f>
        <v>220</v>
      </c>
      <c r="B272" s="309">
        <f>VLOOKUP($A$265,$B$170:$H$181,3,(FALSE))</f>
        <v>-0.16</v>
      </c>
      <c r="C272" s="309">
        <f>VLOOKUP($A$265,$B$170:$H$181,4,(FALSE))</f>
        <v>-0.45</v>
      </c>
      <c r="D272" s="309">
        <f>VLOOKUP($A$265,$B$170:$H$181,5,(FALSE))</f>
        <v>0</v>
      </c>
      <c r="E272" s="309">
        <f>VLOOKUP($A$265,$B$170:$H$181,6,(FALSE))</f>
        <v>0.14500000000000002</v>
      </c>
      <c r="F272" s="296">
        <f>VLOOKUP($A$265,$B$170:$H$181,7,(FALSE))</f>
        <v>2.64</v>
      </c>
      <c r="H272" s="535" t="str">
        <f>TEXT(O268,"0.0")</f>
        <v>219.8</v>
      </c>
      <c r="I272" s="296" t="str">
        <f>TEXT(I269,"0.0")</f>
        <v>2.6</v>
      </c>
      <c r="J272" s="536" t="s">
        <v>198</v>
      </c>
      <c r="K272" s="69"/>
      <c r="M272" s="595" t="str">
        <f>ID!I30</f>
        <v>-</v>
      </c>
      <c r="N272" s="823" t="str">
        <f>IFERROR((M272+L266),"-")</f>
        <v>-</v>
      </c>
      <c r="O272" s="596" t="str">
        <f>IFERROR(N272,"-")</f>
        <v>-</v>
      </c>
    </row>
    <row r="273" spans="1:18" ht="15.75" customHeight="1" thickBot="1" x14ac:dyDescent="0.35">
      <c r="A273" s="34">
        <f>VLOOKUP($A$265,$B$183:$H$194,2,(FALSE))</f>
        <v>230</v>
      </c>
      <c r="B273" s="309">
        <f>VLOOKUP($A$265,$B$183:$H$194,3,(FALSE))</f>
        <v>-0.15</v>
      </c>
      <c r="C273" s="309">
        <f>VLOOKUP($A$265,$B$183:$H$194,4,(FALSE))</f>
        <v>-0.54</v>
      </c>
      <c r="D273" s="309">
        <f>VLOOKUP($A$265,$B$183:$H$194,5,(FALSE))</f>
        <v>0</v>
      </c>
      <c r="E273" s="309">
        <f>VLOOKUP($A$265,$B$183:$H$194,6,(FALSE))</f>
        <v>0.19500000000000001</v>
      </c>
      <c r="F273" s="296">
        <f>VLOOKUP($A$265,$B$183:$H$194,7,(FALSE))</f>
        <v>2.7600000000000002</v>
      </c>
      <c r="H273" s="538" t="s">
        <v>200</v>
      </c>
      <c r="I273" s="539" t="s">
        <v>201</v>
      </c>
      <c r="J273" s="540" t="s">
        <v>202</v>
      </c>
      <c r="K273" s="443"/>
      <c r="L273" s="594" t="s">
        <v>255</v>
      </c>
      <c r="M273" s="597">
        <f>ID!T28</f>
        <v>1</v>
      </c>
      <c r="N273" s="598">
        <f>IFERROR(M273+H269,"-")</f>
        <v>7.1825064960817429</v>
      </c>
      <c r="O273" s="599">
        <f>IFERROR(N273,"-")</f>
        <v>7.1825064960817429</v>
      </c>
    </row>
    <row r="274" spans="1:18" ht="17.5" x14ac:dyDescent="0.25">
      <c r="A274" s="34">
        <f>VLOOKUP($A$265,$B$196:$H$207,2,(FALSE))</f>
        <v>250</v>
      </c>
      <c r="B274" s="309">
        <f>VLOOKUP($A$265,$B$196:$H$207,3,(FALSE))</f>
        <v>9.9999999999999995E-7</v>
      </c>
      <c r="C274" s="309">
        <f>VLOOKUP($A$265,$B$196:$H$207,4,(FALSE))</f>
        <v>-0.49</v>
      </c>
      <c r="D274" s="309">
        <f>VLOOKUP($A$265,$B$196:$H$207,5,(FALSE))</f>
        <v>0</v>
      </c>
      <c r="E274" s="309">
        <f>VLOOKUP($A$265,$B$196:$H$207,6,(FALSE))</f>
        <v>0.24500049999999998</v>
      </c>
      <c r="F274" s="296">
        <f>VLOOKUP($A$265,$B$196:$H$207,7,(FALSE))</f>
        <v>3</v>
      </c>
      <c r="H274" s="1024" t="str">
        <f>IF(ID!E18="-","-",H273&amp;H272&amp;I273&amp;I272&amp;J273&amp;J272)</f>
        <v>( 219.8 ± 2.6 ) Volt</v>
      </c>
      <c r="I274" s="1025"/>
      <c r="J274" s="1026"/>
      <c r="K274" s="69"/>
      <c r="L274" s="432"/>
      <c r="M274" s="600"/>
      <c r="N274" s="601"/>
      <c r="O274" s="602"/>
    </row>
    <row r="275" spans="1:18" ht="13" customHeight="1" x14ac:dyDescent="0.25">
      <c r="A275" s="1000" t="str">
        <f>B12</f>
        <v>Current Leakage</v>
      </c>
      <c r="B275" s="1000"/>
      <c r="C275" s="1000"/>
      <c r="D275" s="1000"/>
      <c r="E275" s="436" t="s">
        <v>221</v>
      </c>
      <c r="F275" s="436" t="s">
        <v>222</v>
      </c>
      <c r="H275" s="69"/>
      <c r="I275" s="69"/>
      <c r="J275" s="69"/>
      <c r="K275" s="69"/>
      <c r="L275" s="432"/>
      <c r="M275" s="600"/>
      <c r="N275" s="601"/>
      <c r="O275" s="602"/>
      <c r="Q275" s="447"/>
    </row>
    <row r="276" spans="1:18" ht="14" x14ac:dyDescent="0.25">
      <c r="A276" s="439" t="s">
        <v>225</v>
      </c>
      <c r="B276" s="585">
        <f>B268</f>
        <v>2022</v>
      </c>
      <c r="C276" s="585">
        <f>C268</f>
        <v>2020</v>
      </c>
      <c r="D276" s="585">
        <f>D268</f>
        <v>2016</v>
      </c>
      <c r="E276" s="436"/>
      <c r="F276" s="436"/>
      <c r="H276" s="69"/>
      <c r="I276" s="69"/>
      <c r="J276" s="69"/>
      <c r="K276" s="69"/>
      <c r="L276" s="432"/>
      <c r="M276" s="600"/>
      <c r="N276" s="601"/>
      <c r="O276" s="602"/>
      <c r="Q276" s="447"/>
    </row>
    <row r="277" spans="1:18" ht="15.75" customHeight="1" x14ac:dyDescent="0.25">
      <c r="A277" s="43">
        <f>VLOOKUP($A$265,$K$131:$Q$142,2,(FALSE))</f>
        <v>0</v>
      </c>
      <c r="B277" s="603">
        <f>VLOOKUP($A$265,$K$131:$Q$142,3,(FALSE))</f>
        <v>9.9999999999999995E-7</v>
      </c>
      <c r="C277" s="603">
        <f>VLOOKUP($A$265,$K$131:$Q$142,4,(FALSE))</f>
        <v>9.9999999999999995E-7</v>
      </c>
      <c r="D277" s="603">
        <f>VLOOKUP($A$265,$K$131:$Q$142,5,(FALSE))</f>
        <v>0</v>
      </c>
      <c r="E277" s="603">
        <f>VLOOKUP($A$265,$K$131:$Q$142,6,(FALSE))</f>
        <v>0</v>
      </c>
      <c r="F277" s="603">
        <f>VLOOKUP($A$265,$K$131:$Q$142,7,(FALSE))</f>
        <v>0</v>
      </c>
      <c r="H277" s="1027"/>
      <c r="I277" s="1027"/>
      <c r="J277" s="1027"/>
      <c r="K277" s="1027"/>
      <c r="L277" s="432"/>
      <c r="M277" s="604"/>
      <c r="N277" s="604"/>
      <c r="O277" s="605"/>
      <c r="Q277" s="447"/>
      <c r="R277" s="447"/>
    </row>
    <row r="278" spans="1:18" x14ac:dyDescent="0.25">
      <c r="A278" s="43">
        <f>VLOOKUP($A$265,$K$144:$Q$155,2,(FALSE))</f>
        <v>20</v>
      </c>
      <c r="B278" s="603">
        <f>VLOOKUP($A$265,$K$144:$Q$155,3,(FALSE))</f>
        <v>6.6</v>
      </c>
      <c r="C278" s="603">
        <f>VLOOKUP($A$265,$K$144:$Q$155,4,(FALSE))</f>
        <v>0.9</v>
      </c>
      <c r="D278" s="603">
        <f>VLOOKUP($A$265,$K$144:$Q$155,5,(FALSE))</f>
        <v>0</v>
      </c>
      <c r="E278" s="603">
        <f>VLOOKUP($A$265,$K$144:$Q$155,6,(FALSE))</f>
        <v>2.8499999999999996</v>
      </c>
      <c r="F278" s="603">
        <f>VLOOKUP($A$265,$K$144:$Q$155,7,(FALSE))</f>
        <v>0.11799999999999999</v>
      </c>
      <c r="H278" s="69"/>
      <c r="I278" s="69"/>
      <c r="J278" s="69"/>
      <c r="K278" s="69"/>
      <c r="L278" s="432"/>
      <c r="M278" s="606"/>
      <c r="N278" s="606"/>
      <c r="O278" s="602"/>
      <c r="Q278" s="447"/>
      <c r="R278" s="447"/>
    </row>
    <row r="279" spans="1:18" x14ac:dyDescent="0.25">
      <c r="A279" s="43">
        <f>VLOOKUP($A$265,$K$157:$Q$168,2,(FALSE))</f>
        <v>50</v>
      </c>
      <c r="B279" s="603">
        <f>VLOOKUP($A$265,$K$157:$Q$168,3,(FALSE))</f>
        <v>5</v>
      </c>
      <c r="C279" s="603">
        <f>VLOOKUP($A$265,$K$157:$Q$168,4,(FALSE))</f>
        <v>2.1</v>
      </c>
      <c r="D279" s="603">
        <f>VLOOKUP($A$265,$K$157:$Q$168,5,(FALSE))</f>
        <v>0</v>
      </c>
      <c r="E279" s="603">
        <f>VLOOKUP($A$265,$K$157:$Q$168,6,(FALSE))</f>
        <v>1.45</v>
      </c>
      <c r="F279" s="603">
        <f>VLOOKUP($A$265,$K$157:$Q$168,7,(FALSE))</f>
        <v>0.29499999999999998</v>
      </c>
      <c r="H279" s="69"/>
      <c r="I279" s="69"/>
      <c r="J279" s="69"/>
      <c r="K279" s="69"/>
      <c r="L279" s="432"/>
      <c r="M279" s="435"/>
      <c r="N279" s="435"/>
      <c r="O279" s="607"/>
      <c r="Q279" s="447"/>
      <c r="R279" s="447"/>
    </row>
    <row r="280" spans="1:18" x14ac:dyDescent="0.25">
      <c r="A280" s="43">
        <f>VLOOKUP($A$265,$K$170:$Q$181,2,(FALSE))</f>
        <v>200</v>
      </c>
      <c r="B280" s="603">
        <f>VLOOKUP($A$265,$K$170:$Q$181,3,(FALSE))</f>
        <v>-8.1999999999999993</v>
      </c>
      <c r="C280" s="603">
        <f>VLOOKUP($A$265,$K$170:$Q$181,4,(FALSE))</f>
        <v>3.7</v>
      </c>
      <c r="D280" s="603">
        <f>VLOOKUP($A$265,$K$170:$Q$181,5,(FALSE))</f>
        <v>0</v>
      </c>
      <c r="E280" s="603">
        <f>VLOOKUP($A$265,$K$170:$Q$181,6,(FALSE))</f>
        <v>5.9499999999999993</v>
      </c>
      <c r="F280" s="603">
        <f>VLOOKUP($A$265,$K$170:$Q$181,7,(FALSE))</f>
        <v>1.18</v>
      </c>
      <c r="H280" s="69"/>
      <c r="I280" s="69"/>
      <c r="J280" s="69"/>
      <c r="K280" s="69"/>
      <c r="L280" s="432"/>
      <c r="M280" s="435"/>
      <c r="N280" s="435"/>
      <c r="O280" s="607"/>
      <c r="Q280" s="447"/>
      <c r="R280" s="447"/>
    </row>
    <row r="281" spans="1:18" ht="16.5" customHeight="1" x14ac:dyDescent="0.3">
      <c r="A281" s="43">
        <f>VLOOKUP($A$265,$K$183:$Q$194,2,(FALSE))</f>
        <v>500</v>
      </c>
      <c r="B281" s="603">
        <f>VLOOKUP($A$265,$K$183:$Q$194,3,(FALSE))</f>
        <v>-31.8</v>
      </c>
      <c r="C281" s="603">
        <f>VLOOKUP($A$265,$K$183:$Q$194,4,(FALSE))</f>
        <v>8.3000000000000007</v>
      </c>
      <c r="D281" s="603">
        <f>VLOOKUP($A$265,$K$183:$Q$194,5,(FALSE))</f>
        <v>0</v>
      </c>
      <c r="E281" s="603">
        <f>VLOOKUP($A$265,$K$183:$Q$194,6,(FALSE))</f>
        <v>20.05</v>
      </c>
      <c r="F281" s="603">
        <f>VLOOKUP($A$265,$K$183:$Q$194,7,(FALSE))</f>
        <v>2.9499999999999997</v>
      </c>
      <c r="H281" s="1027"/>
      <c r="I281" s="1027"/>
      <c r="J281" s="1027"/>
      <c r="K281" s="1027"/>
      <c r="L281" s="432"/>
      <c r="M281" s="608"/>
      <c r="N281" s="608"/>
      <c r="O281" s="609"/>
      <c r="P281" s="158"/>
      <c r="Q281" s="447"/>
      <c r="R281" s="447"/>
    </row>
    <row r="282" spans="1:18" x14ac:dyDescent="0.25">
      <c r="A282" s="43">
        <f>VLOOKUP($A$265,$K$196:$Q$207,2,(FALSE))</f>
        <v>1000</v>
      </c>
      <c r="B282" s="603">
        <f>VLOOKUP($A$265,$K$196:$Q$207,3,(FALSE))</f>
        <v>-74</v>
      </c>
      <c r="C282" s="603">
        <f>VLOOKUP($A$265,$K$196:$Q$207,4,(FALSE))</f>
        <v>9.9999999999999995E-7</v>
      </c>
      <c r="D282" s="603">
        <f>VLOOKUP($A$265,$K$196:$Q$207,5,(FALSE))</f>
        <v>0</v>
      </c>
      <c r="E282" s="603">
        <f>VLOOKUP($A$265,$K$196:$Q$207,6,(FALSE))</f>
        <v>37.000000499999999</v>
      </c>
      <c r="F282" s="603">
        <f>VLOOKUP($A$265,$K$196:$Q$207,7,(FALSE))</f>
        <v>5.8999999999999995</v>
      </c>
      <c r="H282" s="69"/>
      <c r="I282" s="69"/>
      <c r="J282" s="69"/>
      <c r="K282" s="69"/>
      <c r="L282" s="432"/>
      <c r="M282" s="69"/>
      <c r="N282" s="69"/>
      <c r="O282" s="610"/>
      <c r="P282" s="611"/>
      <c r="Q282" s="447"/>
      <c r="R282" s="447"/>
    </row>
    <row r="283" spans="1:18" ht="13" x14ac:dyDescent="0.25">
      <c r="A283" s="1000" t="str">
        <f>B20</f>
        <v>Main-PE</v>
      </c>
      <c r="B283" s="1000"/>
      <c r="C283" s="1000"/>
      <c r="D283" s="1000"/>
      <c r="E283" s="436" t="s">
        <v>221</v>
      </c>
      <c r="F283" s="436" t="s">
        <v>222</v>
      </c>
      <c r="H283" s="69"/>
      <c r="I283" s="69"/>
      <c r="J283" s="69"/>
      <c r="K283" s="69"/>
      <c r="L283" s="432"/>
      <c r="M283" s="69"/>
      <c r="N283" s="69"/>
      <c r="O283" s="610"/>
      <c r="P283" s="611"/>
      <c r="Q283" s="447"/>
      <c r="R283" s="447"/>
    </row>
    <row r="284" spans="1:18" ht="14.5" x14ac:dyDescent="0.25">
      <c r="A284" s="439" t="s">
        <v>227</v>
      </c>
      <c r="B284" s="585">
        <f>B276</f>
        <v>2022</v>
      </c>
      <c r="C284" s="585">
        <f>C276</f>
        <v>2020</v>
      </c>
      <c r="D284" s="585">
        <f>D276</f>
        <v>2016</v>
      </c>
      <c r="E284" s="436"/>
      <c r="F284" s="436"/>
      <c r="H284" s="69"/>
      <c r="I284" s="69"/>
      <c r="J284" s="69"/>
      <c r="K284" s="69"/>
      <c r="L284" s="432"/>
      <c r="M284" s="69"/>
      <c r="N284" s="69"/>
      <c r="O284" s="610"/>
      <c r="P284" s="611"/>
      <c r="Q284" s="447"/>
      <c r="R284" s="447"/>
    </row>
    <row r="285" spans="1:18" ht="15.75" customHeight="1" x14ac:dyDescent="0.25">
      <c r="A285" s="43">
        <f>VLOOKUP($A$265,$B$212:$H$223,2,(FALSE))</f>
        <v>10</v>
      </c>
      <c r="B285" s="603">
        <f>VLOOKUP($A$265,$B$212:$H$223,3,(FALSE))</f>
        <v>9.9999999999999995E-7</v>
      </c>
      <c r="C285" s="603">
        <f>VLOOKUP($A$265,$B$212:$H$223,4,(FALSE))</f>
        <v>9.9999999999999995E-7</v>
      </c>
      <c r="D285" s="603">
        <f>VLOOKUP($A$265,$B$212:$H$223,5,(FALSE))</f>
        <v>0</v>
      </c>
      <c r="E285" s="603">
        <f>VLOOKUP($A$265,$B$212:$H$223,6,(FALSE))</f>
        <v>0</v>
      </c>
      <c r="F285" s="603">
        <f>VLOOKUP($A$265,$B$212:$H$223,7,(FALSE))</f>
        <v>0.17</v>
      </c>
      <c r="H285" s="1014"/>
      <c r="I285" s="1014"/>
      <c r="J285" s="1014"/>
      <c r="K285" s="1014"/>
      <c r="L285" s="435"/>
      <c r="M285" s="435"/>
      <c r="N285" s="435"/>
      <c r="O285" s="607"/>
      <c r="Q285" s="447"/>
      <c r="R285" s="447"/>
    </row>
    <row r="286" spans="1:18" x14ac:dyDescent="0.25">
      <c r="A286" s="43">
        <f>VLOOKUP($A$265,$B$225:$H$236,2,(FALSE))</f>
        <v>20</v>
      </c>
      <c r="B286" s="603">
        <f>VLOOKUP($A$265,$B$225:$H$236,3,(FALSE))</f>
        <v>9.9999999999999995E-7</v>
      </c>
      <c r="C286" s="603">
        <f>VLOOKUP($A$265,$B$225:$H$236,4,(FALSE))</f>
        <v>9.9999999999999995E-7</v>
      </c>
      <c r="D286" s="603">
        <f>VLOOKUP($A$265,$B$225:$H$236,5,(FALSE))</f>
        <v>0</v>
      </c>
      <c r="E286" s="603">
        <f>VLOOKUP($A$265,$B$225:$H$236,6,(FALSE))</f>
        <v>0</v>
      </c>
      <c r="F286" s="603">
        <f>VLOOKUP($A$265,$B$225:$H$236,7,(FALSE))</f>
        <v>0.34</v>
      </c>
      <c r="H286" s="612"/>
      <c r="I286" s="612"/>
      <c r="J286" s="612"/>
      <c r="K286" s="612"/>
      <c r="L286" s="435"/>
      <c r="M286" s="435"/>
      <c r="N286" s="435"/>
      <c r="O286" s="607"/>
      <c r="Q286" s="447"/>
      <c r="R286" s="447"/>
    </row>
    <row r="287" spans="1:18" x14ac:dyDescent="0.25">
      <c r="A287" s="43">
        <f>VLOOKUP($A$265,$B$238:$H$249,2,(FALSE))</f>
        <v>50</v>
      </c>
      <c r="B287" s="603">
        <f>VLOOKUP($A$265,$B$238:$H$249,3,(FALSE))</f>
        <v>0.2</v>
      </c>
      <c r="C287" s="603">
        <f>VLOOKUP($A$265,$B$238:$H$249,4,(FALSE))</f>
        <v>9.9999999999999995E-7</v>
      </c>
      <c r="D287" s="603">
        <f>VLOOKUP($A$265,$B$238:$H$249,5,(FALSE))</f>
        <v>0</v>
      </c>
      <c r="E287" s="603">
        <f>VLOOKUP($A$265,$B$238:$H$249,6,(FALSE))</f>
        <v>9.9999500000000005E-2</v>
      </c>
      <c r="F287" s="603">
        <f>VLOOKUP($A$265,$B$238:$H$249,7,(FALSE))</f>
        <v>0.85000000000000009</v>
      </c>
      <c r="H287" s="612"/>
      <c r="I287" s="612"/>
      <c r="J287" s="612"/>
      <c r="K287" s="612"/>
      <c r="L287" s="435"/>
      <c r="M287" s="435"/>
      <c r="N287" s="435"/>
      <c r="O287" s="607"/>
      <c r="Q287" s="447"/>
      <c r="R287" s="447"/>
    </row>
    <row r="288" spans="1:18" x14ac:dyDescent="0.25">
      <c r="A288" s="43">
        <f>VLOOKUP($A$265,$B$251:$H$262,2,(FALSE))</f>
        <v>100</v>
      </c>
      <c r="B288" s="603">
        <f>VLOOKUP($A$265,$B$251:$H$262,3,(FALSE))</f>
        <v>0.4</v>
      </c>
      <c r="C288" s="603">
        <f>VLOOKUP($A$265,$B$251:$H$262,4,(FALSE))</f>
        <v>9.9999999999999995E-7</v>
      </c>
      <c r="D288" s="603">
        <f>VLOOKUP($A$265,$B$251:$H$262,5,(FALSE))</f>
        <v>0</v>
      </c>
      <c r="E288" s="603">
        <f>VLOOKUP($A$265,$B$251:$H$262,6,(FALSE))</f>
        <v>0.19999950000000002</v>
      </c>
      <c r="F288" s="603">
        <f>VLOOKUP($A$265,$B$251:$H$262,7,(FALSE))</f>
        <v>1.7000000000000002</v>
      </c>
      <c r="H288" s="612"/>
      <c r="I288" s="612"/>
      <c r="J288" s="612"/>
      <c r="K288" s="612"/>
      <c r="L288" s="435"/>
      <c r="M288" s="435"/>
      <c r="N288" s="435"/>
      <c r="O288" s="607"/>
      <c r="Q288" s="447"/>
      <c r="R288" s="447"/>
    </row>
    <row r="289" spans="1:25" ht="15.75" customHeight="1" x14ac:dyDescent="0.25">
      <c r="A289" s="1000" t="str">
        <f>B26</f>
        <v>Resistance</v>
      </c>
      <c r="B289" s="1000"/>
      <c r="C289" s="1000"/>
      <c r="D289" s="1000"/>
      <c r="E289" s="436" t="s">
        <v>221</v>
      </c>
      <c r="F289" s="436" t="s">
        <v>222</v>
      </c>
      <c r="H289" s="1014"/>
      <c r="I289" s="1014"/>
      <c r="J289" s="1014"/>
      <c r="K289" s="1014"/>
      <c r="L289" s="435"/>
      <c r="M289" s="435"/>
      <c r="N289" s="435"/>
      <c r="O289" s="607"/>
      <c r="Q289" s="447"/>
      <c r="R289" s="447"/>
    </row>
    <row r="290" spans="1:25" ht="14.5" x14ac:dyDescent="0.25">
      <c r="A290" s="439" t="s">
        <v>229</v>
      </c>
      <c r="B290" s="585">
        <f>B284</f>
        <v>2022</v>
      </c>
      <c r="C290" s="585">
        <f>C284</f>
        <v>2020</v>
      </c>
      <c r="D290" s="585">
        <f>D284</f>
        <v>2016</v>
      </c>
      <c r="E290" s="436"/>
      <c r="F290" s="436"/>
      <c r="H290" s="612"/>
      <c r="I290" s="612"/>
      <c r="J290" s="612"/>
      <c r="K290" s="612"/>
      <c r="L290" s="435"/>
      <c r="M290" s="435"/>
      <c r="N290" s="435"/>
      <c r="O290" s="607"/>
      <c r="Q290" s="447"/>
      <c r="R290" s="447"/>
    </row>
    <row r="291" spans="1:25" ht="14" x14ac:dyDescent="0.25">
      <c r="A291" s="296">
        <f>VLOOKUP($A$265,$K$212:$Q$223,2,(FALSE))</f>
        <v>0.1</v>
      </c>
      <c r="B291" s="299">
        <f>VLOOKUP($A$265,$K$212:$Q$223,3,(FALSE))</f>
        <v>-1E-3</v>
      </c>
      <c r="C291" s="299">
        <f>VLOOKUP($A$265,$K$212:$Q$223,4,(FALSE))</f>
        <v>-1E-3</v>
      </c>
      <c r="D291" s="299">
        <f>VLOOKUP($A$265,$K$212:$Q$223,5,(FALSE))</f>
        <v>0</v>
      </c>
      <c r="E291" s="299">
        <f>VLOOKUP($A$265,$K$212:$Q$223,6,(FALSE))</f>
        <v>0</v>
      </c>
      <c r="F291" s="299">
        <f>VLOOKUP($A$265,$K$212:$Q$223,7,(FALSE))</f>
        <v>1.2000000000000001E-3</v>
      </c>
      <c r="H291" s="612"/>
      <c r="I291" s="612"/>
      <c r="J291" s="612"/>
      <c r="K291" s="612"/>
      <c r="L291" s="435"/>
      <c r="M291" s="435"/>
      <c r="N291" s="435"/>
      <c r="O291" s="607"/>
      <c r="Q291" s="447"/>
      <c r="R291" s="447"/>
    </row>
    <row r="292" spans="1:25" ht="14" x14ac:dyDescent="0.25">
      <c r="A292" s="296">
        <f>VLOOKUP($A$265,$K$225:$Q$236,2,(FALSE))</f>
        <v>0.5</v>
      </c>
      <c r="B292" s="299">
        <f>VLOOKUP($A$265,$K$225:$Q$236,3,(FALSE))</f>
        <v>4.0000000000000001E-3</v>
      </c>
      <c r="C292" s="299">
        <f>VLOOKUP($A$265,$K$225:$Q$236,4,(FALSE))</f>
        <v>-3.0000000000000001E-3</v>
      </c>
      <c r="D292" s="299">
        <f>VLOOKUP($A$265,$K$225:$Q$236,5,(FALSE))</f>
        <v>0</v>
      </c>
      <c r="E292" s="299">
        <f>VLOOKUP($A$265,$K$225:$Q$236,6,(FALSE))</f>
        <v>3.5000000000000001E-3</v>
      </c>
      <c r="F292" s="299">
        <f>VLOOKUP($A$265,$K$225:$Q$236,7,(FALSE))</f>
        <v>6.0000000000000001E-3</v>
      </c>
      <c r="H292" s="612"/>
      <c r="I292" s="612"/>
      <c r="J292" s="612"/>
      <c r="K292" s="612"/>
      <c r="L292" s="435"/>
      <c r="M292" s="435"/>
      <c r="N292" s="435"/>
      <c r="O292" s="607"/>
      <c r="Q292" s="447"/>
      <c r="R292" s="447"/>
    </row>
    <row r="293" spans="1:25" ht="15.75" customHeight="1" x14ac:dyDescent="0.25">
      <c r="A293" s="296">
        <f>VLOOKUP($A$265,$K$238:$Q$249,2,(FALSE))</f>
        <v>1</v>
      </c>
      <c r="B293" s="299">
        <f>VLOOKUP($A$265,$K$238:$Q$249,3,(FALSE))</f>
        <v>5.0000000000000001E-3</v>
      </c>
      <c r="C293" s="299">
        <f>VLOOKUP($A$265,$K$238:$Q$249,4,(FALSE))</f>
        <v>1E-3</v>
      </c>
      <c r="D293" s="299">
        <f>VLOOKUP($A$265,$K$238:$Q$249,5,(FALSE))</f>
        <v>0</v>
      </c>
      <c r="E293" s="299">
        <f>VLOOKUP($A$265,$K$238:$Q$249,6,(FALSE))</f>
        <v>2E-3</v>
      </c>
      <c r="F293" s="299">
        <f>VLOOKUP($A$265,$K$238:$Q$249,7,(FALSE))</f>
        <v>1.2E-2</v>
      </c>
      <c r="H293" s="1014"/>
      <c r="I293" s="1014"/>
      <c r="J293" s="1014"/>
      <c r="K293" s="1014"/>
      <c r="L293" s="435"/>
      <c r="M293" s="435"/>
      <c r="N293" s="435"/>
      <c r="O293" s="607"/>
      <c r="Q293" s="447"/>
      <c r="R293" s="447"/>
    </row>
    <row r="294" spans="1:25" ht="14" x14ac:dyDescent="0.25">
      <c r="A294" s="296">
        <f>VLOOKUP($A$265,$K$251:$Q$262,2,(FALSE))</f>
        <v>2</v>
      </c>
      <c r="B294" s="299">
        <f>VLOOKUP($A$265,$K$251:$Q$262,3,(FALSE))</f>
        <v>5.0000000000000001E-3</v>
      </c>
      <c r="C294" s="299">
        <f>VLOOKUP($A$265,$K$251:$Q$262,4,(FALSE))</f>
        <v>-1E-3</v>
      </c>
      <c r="D294" s="299">
        <f>VLOOKUP($A$265,$K$251:$Q$262,5,(FALSE))</f>
        <v>0</v>
      </c>
      <c r="E294" s="299">
        <f>VLOOKUP($A$265,$K$251:$Q$262,6,(FALSE))</f>
        <v>3.0000000000000001E-3</v>
      </c>
      <c r="F294" s="299">
        <f>VLOOKUP($A$265,$K$251:$Q$262,7,(FALSE))</f>
        <v>2.4E-2</v>
      </c>
      <c r="H294" s="612"/>
      <c r="I294" s="612"/>
      <c r="J294" s="612"/>
      <c r="K294" s="612"/>
      <c r="L294" s="435"/>
      <c r="M294" s="435"/>
      <c r="N294" s="435"/>
      <c r="O294" s="607"/>
      <c r="Q294" s="447"/>
      <c r="R294" s="447"/>
    </row>
    <row r="297" spans="1:25" ht="13" thickBot="1" x14ac:dyDescent="0.3"/>
    <row r="298" spans="1:25" ht="13.5" thickBot="1" x14ac:dyDescent="0.35">
      <c r="A298" s="613" t="str">
        <f>ID!B51</f>
        <v>Electrical Safety Analyzer, Merek : Fluke, Model : ESA 615, SN : 4669058</v>
      </c>
      <c r="B298" s="614"/>
      <c r="C298" s="614"/>
      <c r="D298" s="614"/>
      <c r="E298" s="614"/>
      <c r="F298" s="614"/>
      <c r="G298" s="614"/>
      <c r="H298" s="614"/>
      <c r="I298" s="614"/>
      <c r="J298" s="614"/>
      <c r="K298" s="614"/>
      <c r="L298" s="615"/>
      <c r="N298" s="1015">
        <f>A311</f>
        <v>8</v>
      </c>
      <c r="O298" s="1016"/>
      <c r="P298" s="1016"/>
      <c r="Q298" s="1016"/>
      <c r="R298" s="1016"/>
      <c r="S298" s="1016"/>
      <c r="T298" s="1016"/>
      <c r="U298" s="1016"/>
      <c r="V298" s="1016"/>
      <c r="W298" s="1016"/>
      <c r="X298" s="1016"/>
      <c r="Y298" s="1017"/>
    </row>
    <row r="299" spans="1:25" ht="13" x14ac:dyDescent="0.3">
      <c r="A299" s="616" t="s">
        <v>256</v>
      </c>
      <c r="B299" s="617"/>
      <c r="C299" s="617"/>
      <c r="D299" s="618"/>
      <c r="E299" s="618"/>
      <c r="F299" s="618"/>
      <c r="G299" s="618"/>
      <c r="H299" s="618"/>
      <c r="I299" s="619">
        <f>C5</f>
        <v>2020</v>
      </c>
      <c r="J299" s="620">
        <f>D5</f>
        <v>2019</v>
      </c>
      <c r="K299" s="620">
        <f>E5</f>
        <v>2016</v>
      </c>
      <c r="L299" s="621">
        <v>1</v>
      </c>
      <c r="N299" s="622">
        <v>1</v>
      </c>
      <c r="O299" s="623" t="s">
        <v>257</v>
      </c>
      <c r="P299" s="624"/>
      <c r="Q299" s="624"/>
      <c r="R299" s="624"/>
      <c r="S299" s="624"/>
      <c r="T299" s="624"/>
      <c r="U299" s="624"/>
      <c r="V299" s="624"/>
      <c r="W299" s="624"/>
      <c r="X299" s="624"/>
      <c r="Y299" s="625"/>
    </row>
    <row r="300" spans="1:25" ht="13" x14ac:dyDescent="0.3">
      <c r="A300" s="626" t="s">
        <v>258</v>
      </c>
      <c r="B300" s="627"/>
      <c r="C300" s="627"/>
      <c r="D300" s="628"/>
      <c r="E300" s="628"/>
      <c r="F300" s="628"/>
      <c r="G300" s="628"/>
      <c r="H300" s="628"/>
      <c r="I300" s="629">
        <f>J5</f>
        <v>2019</v>
      </c>
      <c r="J300" s="630">
        <f>K5</f>
        <v>2017</v>
      </c>
      <c r="K300" s="630">
        <f>L5</f>
        <v>2016</v>
      </c>
      <c r="L300" s="631">
        <v>2</v>
      </c>
      <c r="N300" s="632">
        <v>2</v>
      </c>
      <c r="O300" s="633" t="s">
        <v>257</v>
      </c>
      <c r="P300" s="450"/>
      <c r="Q300" s="450"/>
      <c r="R300" s="450"/>
      <c r="S300" s="450"/>
      <c r="T300" s="450"/>
      <c r="U300" s="450"/>
      <c r="V300" s="450"/>
      <c r="W300" s="450"/>
      <c r="X300" s="450"/>
      <c r="Y300" s="451"/>
    </row>
    <row r="301" spans="1:25" ht="13" x14ac:dyDescent="0.3">
      <c r="A301" s="626" t="s">
        <v>259</v>
      </c>
      <c r="B301" s="627"/>
      <c r="C301" s="627"/>
      <c r="D301" s="628"/>
      <c r="E301" s="628"/>
      <c r="F301" s="628"/>
      <c r="G301" s="628"/>
      <c r="H301" s="628"/>
      <c r="I301" s="629">
        <f>Q5</f>
        <v>2022</v>
      </c>
      <c r="J301" s="630">
        <f>R5</f>
        <v>2021</v>
      </c>
      <c r="K301" s="630">
        <f>S5</f>
        <v>2018</v>
      </c>
      <c r="L301" s="631">
        <v>3</v>
      </c>
      <c r="N301" s="632">
        <v>3</v>
      </c>
      <c r="O301" s="633" t="s">
        <v>257</v>
      </c>
      <c r="P301" s="450"/>
      <c r="Q301" s="450"/>
      <c r="R301" s="450"/>
      <c r="S301" s="450"/>
      <c r="T301" s="450"/>
      <c r="U301" s="450"/>
      <c r="V301" s="450"/>
      <c r="W301" s="450"/>
      <c r="X301" s="450"/>
      <c r="Y301" s="451"/>
    </row>
    <row r="302" spans="1:25" ht="13" x14ac:dyDescent="0.3">
      <c r="A302" s="626" t="s">
        <v>260</v>
      </c>
      <c r="B302" s="627"/>
      <c r="C302" s="627"/>
      <c r="D302" s="628"/>
      <c r="E302" s="628"/>
      <c r="F302" s="628"/>
      <c r="G302" s="628"/>
      <c r="H302" s="628"/>
      <c r="I302" s="629">
        <f>C36</f>
        <v>2021</v>
      </c>
      <c r="J302" s="630">
        <f>D36</f>
        <v>2019</v>
      </c>
      <c r="K302" s="630">
        <f>E36</f>
        <v>2016</v>
      </c>
      <c r="L302" s="631">
        <v>4</v>
      </c>
      <c r="N302" s="632">
        <v>4</v>
      </c>
      <c r="O302" s="633" t="s">
        <v>257</v>
      </c>
      <c r="P302" s="450"/>
      <c r="Q302" s="450"/>
      <c r="R302" s="450"/>
      <c r="S302" s="450"/>
      <c r="T302" s="450"/>
      <c r="U302" s="450"/>
      <c r="V302" s="450"/>
      <c r="W302" s="450"/>
      <c r="X302" s="450"/>
      <c r="Y302" s="451"/>
    </row>
    <row r="303" spans="1:25" ht="13" x14ac:dyDescent="0.3">
      <c r="A303" s="626" t="s">
        <v>261</v>
      </c>
      <c r="B303" s="627"/>
      <c r="C303" s="627"/>
      <c r="D303" s="628"/>
      <c r="E303" s="628"/>
      <c r="F303" s="628"/>
      <c r="G303" s="628"/>
      <c r="H303" s="628"/>
      <c r="I303" s="629">
        <f>J36</f>
        <v>2021</v>
      </c>
      <c r="J303" s="630">
        <f>K36</f>
        <v>2019</v>
      </c>
      <c r="K303" s="630">
        <f>L36</f>
        <v>2016</v>
      </c>
      <c r="L303" s="631">
        <v>5</v>
      </c>
      <c r="N303" s="632">
        <v>5</v>
      </c>
      <c r="O303" s="633" t="s">
        <v>257</v>
      </c>
      <c r="P303" s="450"/>
      <c r="Q303" s="450"/>
      <c r="R303" s="450"/>
      <c r="S303" s="450"/>
      <c r="T303" s="450"/>
      <c r="U303" s="450"/>
      <c r="V303" s="450"/>
      <c r="W303" s="450"/>
      <c r="X303" s="450"/>
      <c r="Y303" s="451"/>
    </row>
    <row r="304" spans="1:25" ht="13" x14ac:dyDescent="0.3">
      <c r="A304" s="626" t="s">
        <v>262</v>
      </c>
      <c r="B304" s="627"/>
      <c r="C304" s="627"/>
      <c r="D304" s="628"/>
      <c r="E304" s="628"/>
      <c r="F304" s="628"/>
      <c r="G304" s="628"/>
      <c r="H304" s="628"/>
      <c r="I304" s="629">
        <f>Q36</f>
        <v>2022</v>
      </c>
      <c r="J304" s="630">
        <f>R36</f>
        <v>2019</v>
      </c>
      <c r="K304" s="630">
        <f>S36</f>
        <v>2018</v>
      </c>
      <c r="L304" s="631">
        <v>6</v>
      </c>
      <c r="N304" s="632">
        <v>6</v>
      </c>
      <c r="O304" s="633" t="s">
        <v>257</v>
      </c>
      <c r="P304" s="450"/>
      <c r="Q304" s="450"/>
      <c r="R304" s="450"/>
      <c r="S304" s="450"/>
      <c r="T304" s="450"/>
      <c r="U304" s="450"/>
      <c r="V304" s="450"/>
      <c r="W304" s="450"/>
      <c r="X304" s="450"/>
      <c r="Y304" s="451"/>
    </row>
    <row r="305" spans="1:25" ht="13" x14ac:dyDescent="0.3">
      <c r="A305" s="626" t="s">
        <v>263</v>
      </c>
      <c r="B305" s="627"/>
      <c r="C305" s="627"/>
      <c r="D305" s="628"/>
      <c r="E305" s="628"/>
      <c r="F305" s="628"/>
      <c r="G305" s="628"/>
      <c r="H305" s="628"/>
      <c r="I305" s="629">
        <f>C67</f>
        <v>2022</v>
      </c>
      <c r="J305" s="630">
        <f>D67</f>
        <v>2020</v>
      </c>
      <c r="K305" s="630">
        <f>E67</f>
        <v>2018</v>
      </c>
      <c r="L305" s="631">
        <v>7</v>
      </c>
      <c r="N305" s="632">
        <v>7</v>
      </c>
      <c r="O305" s="633" t="s">
        <v>257</v>
      </c>
      <c r="P305" s="450"/>
      <c r="Q305" s="450"/>
      <c r="R305" s="450"/>
      <c r="S305" s="450"/>
      <c r="T305" s="450"/>
      <c r="U305" s="450"/>
      <c r="V305" s="450"/>
      <c r="W305" s="450"/>
      <c r="X305" s="450"/>
      <c r="Y305" s="451"/>
    </row>
    <row r="306" spans="1:25" ht="13" x14ac:dyDescent="0.3">
      <c r="A306" s="626" t="s">
        <v>112</v>
      </c>
      <c r="B306" s="627"/>
      <c r="C306" s="627"/>
      <c r="D306" s="628"/>
      <c r="E306" s="628"/>
      <c r="F306" s="628"/>
      <c r="G306" s="628"/>
      <c r="H306" s="628"/>
      <c r="I306" s="634">
        <f>J67</f>
        <v>2022</v>
      </c>
      <c r="J306" s="630">
        <f>K67</f>
        <v>2020</v>
      </c>
      <c r="K306" s="630">
        <f>L67</f>
        <v>2016</v>
      </c>
      <c r="L306" s="631">
        <v>8</v>
      </c>
      <c r="N306" s="632">
        <v>8</v>
      </c>
      <c r="O306" s="633" t="s">
        <v>257</v>
      </c>
      <c r="P306" s="450"/>
      <c r="Q306" s="450"/>
      <c r="R306" s="450"/>
      <c r="S306" s="450"/>
      <c r="T306" s="450"/>
      <c r="U306" s="450"/>
      <c r="V306" s="450"/>
      <c r="W306" s="450"/>
      <c r="X306" s="450"/>
      <c r="Y306" s="451"/>
    </row>
    <row r="307" spans="1:25" ht="13" x14ac:dyDescent="0.3">
      <c r="A307" s="626" t="s">
        <v>264</v>
      </c>
      <c r="B307" s="627"/>
      <c r="C307" s="627"/>
      <c r="D307" s="628"/>
      <c r="E307" s="628"/>
      <c r="F307" s="628"/>
      <c r="G307" s="628"/>
      <c r="H307" s="628"/>
      <c r="I307" s="634">
        <f>Q67</f>
        <v>2022</v>
      </c>
      <c r="J307" s="630">
        <f>R67</f>
        <v>2020</v>
      </c>
      <c r="K307" s="630">
        <f>S67</f>
        <v>2016</v>
      </c>
      <c r="L307" s="631">
        <v>9</v>
      </c>
      <c r="N307" s="632">
        <v>9</v>
      </c>
      <c r="O307" s="633" t="s">
        <v>257</v>
      </c>
      <c r="P307" s="450"/>
      <c r="Q307" s="450"/>
      <c r="R307" s="450"/>
      <c r="S307" s="450"/>
      <c r="T307" s="450"/>
      <c r="U307" s="450"/>
      <c r="V307" s="450"/>
      <c r="W307" s="450"/>
      <c r="X307" s="450"/>
      <c r="Y307" s="451"/>
    </row>
    <row r="308" spans="1:25" ht="13" x14ac:dyDescent="0.3">
      <c r="A308" s="626" t="s">
        <v>265</v>
      </c>
      <c r="B308" s="627"/>
      <c r="C308" s="627"/>
      <c r="D308" s="628"/>
      <c r="E308" s="628"/>
      <c r="F308" s="628"/>
      <c r="G308" s="628"/>
      <c r="H308" s="628"/>
      <c r="I308" s="634">
        <f>C98</f>
        <v>2021</v>
      </c>
      <c r="J308" s="630" t="str">
        <f>D98</f>
        <v>-</v>
      </c>
      <c r="K308" s="630">
        <f>E98</f>
        <v>2016</v>
      </c>
      <c r="L308" s="631">
        <v>10</v>
      </c>
      <c r="N308" s="632">
        <v>10</v>
      </c>
      <c r="O308" s="633" t="s">
        <v>257</v>
      </c>
      <c r="P308" s="449"/>
      <c r="Q308" s="449"/>
      <c r="R308" s="449"/>
      <c r="S308" s="449"/>
      <c r="T308" s="449"/>
      <c r="U308" s="449"/>
      <c r="V308" s="449"/>
      <c r="W308" s="449"/>
      <c r="X308" s="449"/>
      <c r="Y308" s="635"/>
    </row>
    <row r="309" spans="1:25" ht="13" x14ac:dyDescent="0.3">
      <c r="A309" s="626" t="s">
        <v>266</v>
      </c>
      <c r="B309" s="627"/>
      <c r="C309" s="627"/>
      <c r="D309" s="628"/>
      <c r="E309" s="628"/>
      <c r="F309" s="628"/>
      <c r="G309" s="628"/>
      <c r="H309" s="628"/>
      <c r="I309" s="634" t="str">
        <f>J98</f>
        <v>-</v>
      </c>
      <c r="J309" s="630" t="str">
        <f>K98</f>
        <v>-</v>
      </c>
      <c r="K309" s="630">
        <f>L98</f>
        <v>2016</v>
      </c>
      <c r="L309" s="631">
        <v>11</v>
      </c>
      <c r="N309" s="632">
        <v>11</v>
      </c>
      <c r="O309" s="633" t="s">
        <v>257</v>
      </c>
      <c r="P309" s="449"/>
      <c r="Q309" s="449"/>
      <c r="R309" s="449"/>
      <c r="S309" s="449"/>
      <c r="T309" s="449"/>
      <c r="U309" s="449"/>
      <c r="V309" s="449"/>
      <c r="W309" s="449"/>
      <c r="X309" s="449"/>
      <c r="Y309" s="635"/>
    </row>
    <row r="310" spans="1:25" ht="13" x14ac:dyDescent="0.3">
      <c r="A310" s="626" t="s">
        <v>267</v>
      </c>
      <c r="B310" s="627"/>
      <c r="C310" s="627"/>
      <c r="D310" s="628"/>
      <c r="E310" s="628"/>
      <c r="F310" s="628"/>
      <c r="G310" s="628"/>
      <c r="H310" s="628"/>
      <c r="I310" s="634" t="str">
        <f>Q98</f>
        <v>-</v>
      </c>
      <c r="J310" s="630" t="str">
        <f>R98</f>
        <v>-</v>
      </c>
      <c r="K310" s="630">
        <f>S98</f>
        <v>2016</v>
      </c>
      <c r="L310" s="631">
        <v>12</v>
      </c>
      <c r="N310" s="632">
        <v>12</v>
      </c>
      <c r="O310" s="633" t="s">
        <v>257</v>
      </c>
      <c r="P310" s="449"/>
      <c r="Q310" s="449"/>
      <c r="R310" s="449"/>
      <c r="S310" s="449"/>
      <c r="T310" s="449"/>
      <c r="U310" s="449"/>
      <c r="V310" s="449"/>
      <c r="W310" s="449"/>
      <c r="X310" s="449"/>
      <c r="Y310" s="635"/>
    </row>
    <row r="311" spans="1:25" ht="13.5" thickBot="1" x14ac:dyDescent="0.35">
      <c r="A311" s="1018">
        <f>VLOOKUP(A298,A299:L310,12,(FALSE))</f>
        <v>8</v>
      </c>
      <c r="B311" s="1019"/>
      <c r="C311" s="1019"/>
      <c r="D311" s="1019"/>
      <c r="E311" s="1019"/>
      <c r="F311" s="1019"/>
      <c r="G311" s="1019"/>
      <c r="H311" s="1019"/>
      <c r="I311" s="1019"/>
      <c r="J311" s="1019"/>
      <c r="K311" s="1019"/>
      <c r="L311" s="1020"/>
      <c r="N311" s="636" t="str">
        <f>VLOOKUP(N298,N299:Y310,2,FALSE)</f>
        <v>Hasil pengukuran keselamatan listrik tertelusur ke Satuan Internasional ( SI ) melalui PT. Kaliman (LK-032-IDN)</v>
      </c>
      <c r="O311" s="637"/>
      <c r="P311" s="637"/>
      <c r="Q311" s="637"/>
      <c r="R311" s="637"/>
      <c r="S311" s="637"/>
      <c r="T311" s="637"/>
      <c r="U311" s="637"/>
      <c r="V311" s="637"/>
      <c r="W311" s="637"/>
      <c r="X311" s="637"/>
      <c r="Y311" s="638"/>
    </row>
  </sheetData>
  <mergeCells count="239">
    <mergeCell ref="H285:K285"/>
    <mergeCell ref="A289:D289"/>
    <mergeCell ref="H289:K289"/>
    <mergeCell ref="H293:K293"/>
    <mergeCell ref="N298:Y298"/>
    <mergeCell ref="A311:L311"/>
    <mergeCell ref="H271:J271"/>
    <mergeCell ref="H274:J274"/>
    <mergeCell ref="A275:D275"/>
    <mergeCell ref="H277:K277"/>
    <mergeCell ref="H281:K281"/>
    <mergeCell ref="A283:D283"/>
    <mergeCell ref="A251:A262"/>
    <mergeCell ref="J251:J262"/>
    <mergeCell ref="B265:F265"/>
    <mergeCell ref="M265:M267"/>
    <mergeCell ref="N265:N267"/>
    <mergeCell ref="O265:O267"/>
    <mergeCell ref="A266:F266"/>
    <mergeCell ref="A267:D267"/>
    <mergeCell ref="E267:E268"/>
    <mergeCell ref="F267:F268"/>
    <mergeCell ref="A212:A223"/>
    <mergeCell ref="J212:J223"/>
    <mergeCell ref="A225:A236"/>
    <mergeCell ref="J225:J236"/>
    <mergeCell ref="A238:A249"/>
    <mergeCell ref="J238:J249"/>
    <mergeCell ref="A209:A211"/>
    <mergeCell ref="B209:B211"/>
    <mergeCell ref="C209:H209"/>
    <mergeCell ref="J209:J211"/>
    <mergeCell ref="K209:K211"/>
    <mergeCell ref="L209:Q209"/>
    <mergeCell ref="C210:F210"/>
    <mergeCell ref="L210:O210"/>
    <mergeCell ref="A170:A181"/>
    <mergeCell ref="J170:J181"/>
    <mergeCell ref="A183:A194"/>
    <mergeCell ref="J183:J194"/>
    <mergeCell ref="A196:A207"/>
    <mergeCell ref="J196:J207"/>
    <mergeCell ref="L129:O129"/>
    <mergeCell ref="A131:A142"/>
    <mergeCell ref="J131:J142"/>
    <mergeCell ref="A144:A155"/>
    <mergeCell ref="J144:J155"/>
    <mergeCell ref="A157:A168"/>
    <mergeCell ref="J157:J168"/>
    <mergeCell ref="U119:U120"/>
    <mergeCell ref="A125:U125"/>
    <mergeCell ref="A126:U126"/>
    <mergeCell ref="A128:A130"/>
    <mergeCell ref="B128:B130"/>
    <mergeCell ref="C128:H128"/>
    <mergeCell ref="J128:J130"/>
    <mergeCell ref="K128:K130"/>
    <mergeCell ref="L128:O128"/>
    <mergeCell ref="C129:F129"/>
    <mergeCell ref="T113:T114"/>
    <mergeCell ref="U113:U114"/>
    <mergeCell ref="B119:E119"/>
    <mergeCell ref="F119:F120"/>
    <mergeCell ref="G119:G120"/>
    <mergeCell ref="I119:L119"/>
    <mergeCell ref="M119:M120"/>
    <mergeCell ref="N119:N120"/>
    <mergeCell ref="P119:S119"/>
    <mergeCell ref="T119:T120"/>
    <mergeCell ref="I113:L113"/>
    <mergeCell ref="M113:M114"/>
    <mergeCell ref="N113:N114"/>
    <mergeCell ref="P113:S113"/>
    <mergeCell ref="O95:O124"/>
    <mergeCell ref="P95:U95"/>
    <mergeCell ref="P96:U96"/>
    <mergeCell ref="P97:S97"/>
    <mergeCell ref="T97:T98"/>
    <mergeCell ref="U97:U98"/>
    <mergeCell ref="P105:S105"/>
    <mergeCell ref="T105:T106"/>
    <mergeCell ref="U105:U106"/>
    <mergeCell ref="B105:E105"/>
    <mergeCell ref="F105:F106"/>
    <mergeCell ref="G105:G106"/>
    <mergeCell ref="I105:L105"/>
    <mergeCell ref="M105:M106"/>
    <mergeCell ref="N105:N106"/>
    <mergeCell ref="A95:A124"/>
    <mergeCell ref="B95:G95"/>
    <mergeCell ref="H95:H124"/>
    <mergeCell ref="I95:N95"/>
    <mergeCell ref="B96:G96"/>
    <mergeCell ref="I96:N96"/>
    <mergeCell ref="B97:E97"/>
    <mergeCell ref="F97:F98"/>
    <mergeCell ref="G97:G98"/>
    <mergeCell ref="I97:L97"/>
    <mergeCell ref="M97:M98"/>
    <mergeCell ref="N97:N98"/>
    <mergeCell ref="B113:E113"/>
    <mergeCell ref="F113:F114"/>
    <mergeCell ref="G113:G114"/>
    <mergeCell ref="P82:S82"/>
    <mergeCell ref="T82:T83"/>
    <mergeCell ref="U82:U83"/>
    <mergeCell ref="B88:E88"/>
    <mergeCell ref="F88:F89"/>
    <mergeCell ref="G88:G89"/>
    <mergeCell ref="I88:L88"/>
    <mergeCell ref="M88:M89"/>
    <mergeCell ref="N88:N89"/>
    <mergeCell ref="P88:S88"/>
    <mergeCell ref="B82:E82"/>
    <mergeCell ref="F82:F83"/>
    <mergeCell ref="G82:G83"/>
    <mergeCell ref="I82:L82"/>
    <mergeCell ref="M82:M83"/>
    <mergeCell ref="N82:N83"/>
    <mergeCell ref="T88:T89"/>
    <mergeCell ref="U88:U89"/>
    <mergeCell ref="M66:M67"/>
    <mergeCell ref="N66:N67"/>
    <mergeCell ref="P66:S66"/>
    <mergeCell ref="T66:T67"/>
    <mergeCell ref="U66:U67"/>
    <mergeCell ref="B74:E74"/>
    <mergeCell ref="F74:F75"/>
    <mergeCell ref="G74:G75"/>
    <mergeCell ref="I74:L74"/>
    <mergeCell ref="M74:M75"/>
    <mergeCell ref="N74:N75"/>
    <mergeCell ref="P74:S74"/>
    <mergeCell ref="T74:T75"/>
    <mergeCell ref="U74:U75"/>
    <mergeCell ref="P57:S57"/>
    <mergeCell ref="T57:T58"/>
    <mergeCell ref="U57:U58"/>
    <mergeCell ref="A64:A93"/>
    <mergeCell ref="B64:G64"/>
    <mergeCell ref="H64:H93"/>
    <mergeCell ref="I64:N64"/>
    <mergeCell ref="O64:O93"/>
    <mergeCell ref="P64:U64"/>
    <mergeCell ref="B65:G65"/>
    <mergeCell ref="B57:E57"/>
    <mergeCell ref="F57:F58"/>
    <mergeCell ref="G57:G58"/>
    <mergeCell ref="I57:L57"/>
    <mergeCell ref="M57:M58"/>
    <mergeCell ref="N57:N58"/>
    <mergeCell ref="A33:A62"/>
    <mergeCell ref="B33:G33"/>
    <mergeCell ref="I65:N65"/>
    <mergeCell ref="P65:U65"/>
    <mergeCell ref="B66:E66"/>
    <mergeCell ref="F66:F67"/>
    <mergeCell ref="G66:G67"/>
    <mergeCell ref="I66:L66"/>
    <mergeCell ref="U43:U44"/>
    <mergeCell ref="B51:E51"/>
    <mergeCell ref="F51:F52"/>
    <mergeCell ref="G51:G52"/>
    <mergeCell ref="I51:L51"/>
    <mergeCell ref="M51:M52"/>
    <mergeCell ref="N51:N52"/>
    <mergeCell ref="P51:S51"/>
    <mergeCell ref="T51:T52"/>
    <mergeCell ref="U51:U52"/>
    <mergeCell ref="T35:T36"/>
    <mergeCell ref="U35:U36"/>
    <mergeCell ref="B43:E43"/>
    <mergeCell ref="F43:F44"/>
    <mergeCell ref="G43:G44"/>
    <mergeCell ref="I43:L43"/>
    <mergeCell ref="M43:M44"/>
    <mergeCell ref="N43:N44"/>
    <mergeCell ref="P43:S43"/>
    <mergeCell ref="T43:T44"/>
    <mergeCell ref="F35:F36"/>
    <mergeCell ref="G35:G36"/>
    <mergeCell ref="I35:L35"/>
    <mergeCell ref="M35:M36"/>
    <mergeCell ref="N35:N36"/>
    <mergeCell ref="P35:S35"/>
    <mergeCell ref="H33:H62"/>
    <mergeCell ref="I33:N33"/>
    <mergeCell ref="O33:O62"/>
    <mergeCell ref="P33:U33"/>
    <mergeCell ref="B34:G34"/>
    <mergeCell ref="I34:N34"/>
    <mergeCell ref="P34:U34"/>
    <mergeCell ref="B35:E35"/>
    <mergeCell ref="B26:E26"/>
    <mergeCell ref="F26:F27"/>
    <mergeCell ref="G26:G27"/>
    <mergeCell ref="I26:L26"/>
    <mergeCell ref="M26:M27"/>
    <mergeCell ref="N26:N27"/>
    <mergeCell ref="P26:S26"/>
    <mergeCell ref="T26:T27"/>
    <mergeCell ref="U26:U27"/>
    <mergeCell ref="M4:M5"/>
    <mergeCell ref="N4:N5"/>
    <mergeCell ref="T12:T13"/>
    <mergeCell ref="U12:U13"/>
    <mergeCell ref="B20:E20"/>
    <mergeCell ref="F20:F21"/>
    <mergeCell ref="G20:G21"/>
    <mergeCell ref="I20:L20"/>
    <mergeCell ref="M20:M21"/>
    <mergeCell ref="N20:N21"/>
    <mergeCell ref="P20:S20"/>
    <mergeCell ref="T20:T21"/>
    <mergeCell ref="U20:U21"/>
    <mergeCell ref="A1:U1"/>
    <mergeCell ref="A2:A31"/>
    <mergeCell ref="B2:G2"/>
    <mergeCell ref="H2:H31"/>
    <mergeCell ref="I2:N2"/>
    <mergeCell ref="O2:O31"/>
    <mergeCell ref="P2:U2"/>
    <mergeCell ref="B3:G3"/>
    <mergeCell ref="I3:N3"/>
    <mergeCell ref="P3:U3"/>
    <mergeCell ref="P4:S4"/>
    <mergeCell ref="T4:T5"/>
    <mergeCell ref="U4:U5"/>
    <mergeCell ref="B12:E12"/>
    <mergeCell ref="F12:F13"/>
    <mergeCell ref="G12:G13"/>
    <mergeCell ref="I12:L12"/>
    <mergeCell ref="M12:M13"/>
    <mergeCell ref="N12:N13"/>
    <mergeCell ref="P12:S12"/>
    <mergeCell ref="B4:E4"/>
    <mergeCell ref="F4:F5"/>
    <mergeCell ref="G4:G5"/>
    <mergeCell ref="I4:L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D8D65-A261-405C-8107-47C034F3F953}">
  <dimension ref="A1:AL410"/>
  <sheetViews>
    <sheetView tabSelected="1" topLeftCell="M28" workbookViewId="0">
      <selection activeCell="N390" sqref="N390"/>
    </sheetView>
  </sheetViews>
  <sheetFormatPr defaultColWidth="8.7265625" defaultRowHeight="12.5" x14ac:dyDescent="0.25"/>
  <cols>
    <col min="1" max="16384" width="8.7265625" style="433"/>
  </cols>
  <sheetData>
    <row r="1" spans="1:24" ht="18" thickBot="1" x14ac:dyDescent="0.3">
      <c r="A1" s="1035" t="s">
        <v>268</v>
      </c>
      <c r="B1" s="1036"/>
      <c r="C1" s="1036"/>
      <c r="D1" s="1036"/>
      <c r="E1" s="1036"/>
      <c r="F1" s="1036"/>
      <c r="G1" s="1036"/>
      <c r="H1" s="1036"/>
      <c r="I1" s="1036"/>
      <c r="J1" s="1036"/>
      <c r="K1" s="1036"/>
      <c r="L1" s="1036"/>
      <c r="M1" s="1036"/>
      <c r="N1" s="1036"/>
      <c r="O1" s="1036"/>
      <c r="P1" s="1036"/>
      <c r="Q1" s="1036"/>
      <c r="R1" s="1036"/>
      <c r="S1" s="1036"/>
      <c r="T1" s="1036"/>
      <c r="U1" s="1036"/>
    </row>
    <row r="2" spans="1:24" x14ac:dyDescent="0.25">
      <c r="A2" s="1033">
        <v>1</v>
      </c>
      <c r="B2" s="1034" t="s">
        <v>269</v>
      </c>
      <c r="C2" s="1034"/>
      <c r="D2" s="1034"/>
      <c r="E2" s="1034"/>
      <c r="F2" s="1034"/>
      <c r="G2" s="1034"/>
      <c r="I2" s="1034" t="str">
        <f>B2</f>
        <v>KOREKSI KIMO THERMOHYGROMETER 15062873</v>
      </c>
      <c r="J2" s="1034"/>
      <c r="K2" s="1034"/>
      <c r="L2" s="1034"/>
      <c r="M2" s="1034"/>
      <c r="N2" s="1034"/>
      <c r="P2" s="1034" t="str">
        <f>I2</f>
        <v>KOREKSI KIMO THERMOHYGROMETER 15062873</v>
      </c>
      <c r="Q2" s="1034"/>
      <c r="R2" s="1034"/>
      <c r="S2" s="1034"/>
      <c r="T2" s="1034"/>
      <c r="U2" s="1034"/>
      <c r="W2" s="1028" t="s">
        <v>222</v>
      </c>
      <c r="X2" s="1029"/>
    </row>
    <row r="3" spans="1:24" ht="13" x14ac:dyDescent="0.25">
      <c r="A3" s="1033"/>
      <c r="B3" s="1030" t="s">
        <v>270</v>
      </c>
      <c r="C3" s="1030"/>
      <c r="D3" s="1030" t="s">
        <v>271</v>
      </c>
      <c r="E3" s="1030"/>
      <c r="F3" s="1030"/>
      <c r="G3" s="1030" t="s">
        <v>272</v>
      </c>
      <c r="I3" s="1030" t="s">
        <v>273</v>
      </c>
      <c r="J3" s="1030"/>
      <c r="K3" s="1030" t="s">
        <v>271</v>
      </c>
      <c r="L3" s="1030"/>
      <c r="M3" s="1030"/>
      <c r="N3" s="1030" t="s">
        <v>272</v>
      </c>
      <c r="P3" s="1030" t="s">
        <v>274</v>
      </c>
      <c r="Q3" s="1030"/>
      <c r="R3" s="1030" t="s">
        <v>271</v>
      </c>
      <c r="S3" s="1030"/>
      <c r="T3" s="1030"/>
      <c r="U3" s="1030" t="s">
        <v>272</v>
      </c>
      <c r="W3" s="457" t="s">
        <v>270</v>
      </c>
      <c r="X3" s="458">
        <v>0.6</v>
      </c>
    </row>
    <row r="4" spans="1:24" ht="14.5" x14ac:dyDescent="0.25">
      <c r="A4" s="1033"/>
      <c r="B4" s="1031" t="s">
        <v>275</v>
      </c>
      <c r="C4" s="1031"/>
      <c r="D4" s="438">
        <v>2020</v>
      </c>
      <c r="E4" s="438">
        <v>2017</v>
      </c>
      <c r="F4" s="438">
        <v>2016</v>
      </c>
      <c r="G4" s="1030"/>
      <c r="I4" s="1032" t="s">
        <v>276</v>
      </c>
      <c r="J4" s="1031"/>
      <c r="K4" s="438">
        <f>D4</f>
        <v>2020</v>
      </c>
      <c r="L4" s="438">
        <f>E4</f>
        <v>2017</v>
      </c>
      <c r="M4" s="438">
        <v>2016</v>
      </c>
      <c r="N4" s="1030"/>
      <c r="P4" s="1032" t="s">
        <v>277</v>
      </c>
      <c r="Q4" s="1031"/>
      <c r="R4" s="438">
        <f>K4</f>
        <v>2020</v>
      </c>
      <c r="S4" s="438">
        <f>L4</f>
        <v>2017</v>
      </c>
      <c r="T4" s="438">
        <v>2016</v>
      </c>
      <c r="U4" s="1030"/>
      <c r="W4" s="457" t="s">
        <v>276</v>
      </c>
      <c r="X4" s="458">
        <v>3.1</v>
      </c>
    </row>
    <row r="5" spans="1:24" ht="13.5" thickBot="1" x14ac:dyDescent="0.3">
      <c r="A5" s="1033"/>
      <c r="B5" s="459">
        <v>1</v>
      </c>
      <c r="C5" s="36">
        <v>15</v>
      </c>
      <c r="D5" s="32">
        <v>-0.5</v>
      </c>
      <c r="E5" s="32">
        <v>0.3</v>
      </c>
      <c r="F5" s="36">
        <v>0</v>
      </c>
      <c r="G5" s="460">
        <f>0.5*(MAX(D5:F5)-MIN(D5:F5))</f>
        <v>0.4</v>
      </c>
      <c r="I5" s="459">
        <v>1</v>
      </c>
      <c r="J5" s="36">
        <v>35</v>
      </c>
      <c r="K5" s="32">
        <v>-6</v>
      </c>
      <c r="L5" s="32">
        <v>-9.4</v>
      </c>
      <c r="M5" s="461"/>
      <c r="N5" s="460">
        <f>0.5*(MAX(K5:M5)-MIN(K5:M5))</f>
        <v>1.7000000000000002</v>
      </c>
      <c r="P5" s="459">
        <v>1</v>
      </c>
      <c r="Q5" s="36">
        <v>750</v>
      </c>
      <c r="R5" s="31" t="s">
        <v>243</v>
      </c>
      <c r="S5" s="31" t="s">
        <v>243</v>
      </c>
      <c r="T5" s="462"/>
      <c r="U5" s="460">
        <f>0.5*(MAX(R5:T5)-MIN(R5:T5))</f>
        <v>0</v>
      </c>
      <c r="W5" s="463" t="s">
        <v>277</v>
      </c>
      <c r="X5" s="464">
        <v>0</v>
      </c>
    </row>
    <row r="6" spans="1:24" ht="13" x14ac:dyDescent="0.25">
      <c r="A6" s="1033"/>
      <c r="B6" s="459">
        <v>2</v>
      </c>
      <c r="C6" s="36">
        <v>20</v>
      </c>
      <c r="D6" s="32">
        <v>-0.2</v>
      </c>
      <c r="E6" s="32">
        <v>0.2</v>
      </c>
      <c r="F6" s="36">
        <v>0</v>
      </c>
      <c r="G6" s="460">
        <f t="shared" ref="G6:G11" si="0">0.5*(MAX(D6:F6)-MIN(D6:F6))</f>
        <v>0.2</v>
      </c>
      <c r="I6" s="459">
        <v>2</v>
      </c>
      <c r="J6" s="36">
        <v>40</v>
      </c>
      <c r="K6" s="32">
        <v>-6</v>
      </c>
      <c r="L6" s="32">
        <v>-8.6</v>
      </c>
      <c r="M6" s="461"/>
      <c r="N6" s="460">
        <f t="shared" ref="N6:N11" si="1">0.5*(MAX(K6:M6)-MIN(K6:M6))</f>
        <v>1.2999999999999998</v>
      </c>
      <c r="P6" s="459">
        <v>2</v>
      </c>
      <c r="Q6" s="36">
        <v>800</v>
      </c>
      <c r="R6" s="31" t="s">
        <v>243</v>
      </c>
      <c r="S6" s="31" t="s">
        <v>243</v>
      </c>
      <c r="T6" s="462"/>
      <c r="U6" s="460">
        <f t="shared" ref="U6:U11" si="2">0.5*(MAX(R6:T6)-MIN(R6:T6))</f>
        <v>0</v>
      </c>
    </row>
    <row r="7" spans="1:24" ht="13" x14ac:dyDescent="0.25">
      <c r="A7" s="1033"/>
      <c r="B7" s="459">
        <v>3</v>
      </c>
      <c r="C7" s="36">
        <v>25</v>
      </c>
      <c r="D7" s="32">
        <v>9.9999999999999995E-7</v>
      </c>
      <c r="E7" s="32">
        <v>0.1</v>
      </c>
      <c r="F7" s="36">
        <v>0</v>
      </c>
      <c r="G7" s="460">
        <f t="shared" si="0"/>
        <v>0.05</v>
      </c>
      <c r="I7" s="459">
        <v>3</v>
      </c>
      <c r="J7" s="36">
        <v>50</v>
      </c>
      <c r="K7" s="32">
        <v>-5.8</v>
      </c>
      <c r="L7" s="32">
        <v>-7.2</v>
      </c>
      <c r="M7" s="461"/>
      <c r="N7" s="460">
        <f t="shared" si="1"/>
        <v>0.70000000000000018</v>
      </c>
      <c r="P7" s="459">
        <v>3</v>
      </c>
      <c r="Q7" s="36">
        <v>850</v>
      </c>
      <c r="R7" s="31" t="s">
        <v>243</v>
      </c>
      <c r="S7" s="31" t="s">
        <v>243</v>
      </c>
      <c r="T7" s="462"/>
      <c r="U7" s="460">
        <f t="shared" si="2"/>
        <v>0</v>
      </c>
    </row>
    <row r="8" spans="1:24" ht="13" x14ac:dyDescent="0.25">
      <c r="A8" s="1033"/>
      <c r="B8" s="459">
        <v>4</v>
      </c>
      <c r="C8" s="465">
        <v>30</v>
      </c>
      <c r="D8" s="32">
        <v>9.9999999999999995E-7</v>
      </c>
      <c r="E8" s="466">
        <v>-0.2</v>
      </c>
      <c r="F8" s="36">
        <v>0</v>
      </c>
      <c r="G8" s="460">
        <f t="shared" si="0"/>
        <v>0.10000050000000001</v>
      </c>
      <c r="I8" s="459">
        <v>4</v>
      </c>
      <c r="J8" s="465">
        <v>60</v>
      </c>
      <c r="K8" s="466">
        <v>-5.3</v>
      </c>
      <c r="L8" s="466">
        <v>-5.2</v>
      </c>
      <c r="M8" s="461"/>
      <c r="N8" s="460">
        <f t="shared" si="1"/>
        <v>4.9999999999999822E-2</v>
      </c>
      <c r="P8" s="459">
        <v>4</v>
      </c>
      <c r="Q8" s="465">
        <v>900</v>
      </c>
      <c r="R8" s="466" t="s">
        <v>243</v>
      </c>
      <c r="S8" s="466" t="s">
        <v>243</v>
      </c>
      <c r="T8" s="462"/>
      <c r="U8" s="460">
        <f t="shared" si="2"/>
        <v>0</v>
      </c>
    </row>
    <row r="9" spans="1:24" ht="13" x14ac:dyDescent="0.25">
      <c r="A9" s="1033"/>
      <c r="B9" s="459">
        <v>5</v>
      </c>
      <c r="C9" s="465">
        <v>35</v>
      </c>
      <c r="D9" s="466">
        <v>-0.1</v>
      </c>
      <c r="E9" s="466">
        <v>-0.5</v>
      </c>
      <c r="F9" s="36">
        <v>0</v>
      </c>
      <c r="G9" s="460">
        <f t="shared" si="0"/>
        <v>0.25</v>
      </c>
      <c r="I9" s="459">
        <v>5</v>
      </c>
      <c r="J9" s="465">
        <v>70</v>
      </c>
      <c r="K9" s="466">
        <v>-4.4000000000000004</v>
      </c>
      <c r="L9" s="466">
        <v>-2.6</v>
      </c>
      <c r="M9" s="461"/>
      <c r="N9" s="460">
        <f t="shared" si="1"/>
        <v>0.90000000000000013</v>
      </c>
      <c r="P9" s="459">
        <v>5</v>
      </c>
      <c r="Q9" s="465">
        <v>1000</v>
      </c>
      <c r="R9" s="466" t="s">
        <v>243</v>
      </c>
      <c r="S9" s="466" t="s">
        <v>243</v>
      </c>
      <c r="T9" s="462"/>
      <c r="U9" s="460">
        <f t="shared" si="2"/>
        <v>0</v>
      </c>
    </row>
    <row r="10" spans="1:24" ht="13" x14ac:dyDescent="0.25">
      <c r="A10" s="1033"/>
      <c r="B10" s="459">
        <v>6</v>
      </c>
      <c r="C10" s="465">
        <v>37</v>
      </c>
      <c r="D10" s="466">
        <v>-0.2</v>
      </c>
      <c r="E10" s="466">
        <v>-0.6</v>
      </c>
      <c r="F10" s="36">
        <v>0</v>
      </c>
      <c r="G10" s="460">
        <f t="shared" si="0"/>
        <v>0.3</v>
      </c>
      <c r="I10" s="459">
        <v>6</v>
      </c>
      <c r="J10" s="465">
        <v>80</v>
      </c>
      <c r="K10" s="466">
        <v>-3.2</v>
      </c>
      <c r="L10" s="466">
        <v>0.7</v>
      </c>
      <c r="M10" s="461"/>
      <c r="N10" s="460">
        <f t="shared" si="1"/>
        <v>1.9500000000000002</v>
      </c>
      <c r="P10" s="459">
        <v>6</v>
      </c>
      <c r="Q10" s="465">
        <v>1005</v>
      </c>
      <c r="R10" s="466" t="s">
        <v>243</v>
      </c>
      <c r="S10" s="466" t="s">
        <v>243</v>
      </c>
      <c r="T10" s="462"/>
      <c r="U10" s="460">
        <f t="shared" si="2"/>
        <v>0</v>
      </c>
    </row>
    <row r="11" spans="1:24" ht="13.5" thickBot="1" x14ac:dyDescent="0.3">
      <c r="A11" s="1033"/>
      <c r="B11" s="459">
        <v>7</v>
      </c>
      <c r="C11" s="465">
        <v>40</v>
      </c>
      <c r="D11" s="466">
        <v>-0.3</v>
      </c>
      <c r="E11" s="466">
        <v>-0.8</v>
      </c>
      <c r="F11" s="36">
        <v>0</v>
      </c>
      <c r="G11" s="460">
        <f t="shared" si="0"/>
        <v>0.4</v>
      </c>
      <c r="I11" s="459">
        <v>7</v>
      </c>
      <c r="J11" s="465">
        <v>90</v>
      </c>
      <c r="K11" s="466">
        <v>-1.6</v>
      </c>
      <c r="L11" s="466">
        <v>4.5</v>
      </c>
      <c r="M11" s="461"/>
      <c r="N11" s="460">
        <f t="shared" si="1"/>
        <v>3.05</v>
      </c>
      <c r="P11" s="459">
        <v>7</v>
      </c>
      <c r="Q11" s="465">
        <v>1020</v>
      </c>
      <c r="R11" s="466" t="s">
        <v>243</v>
      </c>
      <c r="S11" s="466" t="s">
        <v>243</v>
      </c>
      <c r="T11" s="462"/>
      <c r="U11" s="460">
        <f t="shared" si="2"/>
        <v>0</v>
      </c>
    </row>
    <row r="12" spans="1:24" ht="13.5" thickBot="1" x14ac:dyDescent="0.35">
      <c r="A12" s="467"/>
      <c r="B12" s="467"/>
      <c r="O12" s="468"/>
      <c r="P12" s="441"/>
    </row>
    <row r="13" spans="1:24" x14ac:dyDescent="0.25">
      <c r="A13" s="1033">
        <v>2</v>
      </c>
      <c r="B13" s="1034" t="s">
        <v>278</v>
      </c>
      <c r="C13" s="1034"/>
      <c r="D13" s="1034"/>
      <c r="E13" s="1034"/>
      <c r="F13" s="1034"/>
      <c r="G13" s="1034"/>
      <c r="I13" s="1034" t="str">
        <f>B13</f>
        <v>KOREKSI KIMO THERMOHYGROMETER 15062874</v>
      </c>
      <c r="J13" s="1034"/>
      <c r="K13" s="1034"/>
      <c r="L13" s="1034"/>
      <c r="M13" s="1034"/>
      <c r="N13" s="1034"/>
      <c r="P13" s="1034" t="str">
        <f>I13</f>
        <v>KOREKSI KIMO THERMOHYGROMETER 15062874</v>
      </c>
      <c r="Q13" s="1034"/>
      <c r="R13" s="1034"/>
      <c r="S13" s="1034"/>
      <c r="T13" s="1034"/>
      <c r="U13" s="1034"/>
      <c r="W13" s="1028" t="s">
        <v>222</v>
      </c>
      <c r="X13" s="1029"/>
    </row>
    <row r="14" spans="1:24" ht="13" x14ac:dyDescent="0.25">
      <c r="A14" s="1033"/>
      <c r="B14" s="1030" t="s">
        <v>270</v>
      </c>
      <c r="C14" s="1030"/>
      <c r="D14" s="1030" t="s">
        <v>271</v>
      </c>
      <c r="E14" s="1030"/>
      <c r="F14" s="1030"/>
      <c r="G14" s="1030" t="s">
        <v>272</v>
      </c>
      <c r="I14" s="1030" t="s">
        <v>273</v>
      </c>
      <c r="J14" s="1030"/>
      <c r="K14" s="1030" t="s">
        <v>271</v>
      </c>
      <c r="L14" s="1030"/>
      <c r="M14" s="1030"/>
      <c r="N14" s="1030" t="s">
        <v>272</v>
      </c>
      <c r="P14" s="1030" t="s">
        <v>274</v>
      </c>
      <c r="Q14" s="1030"/>
      <c r="R14" s="1030" t="s">
        <v>271</v>
      </c>
      <c r="S14" s="1030"/>
      <c r="T14" s="1030"/>
      <c r="U14" s="1030" t="s">
        <v>272</v>
      </c>
      <c r="W14" s="457" t="s">
        <v>270</v>
      </c>
      <c r="X14" s="458">
        <v>0.8</v>
      </c>
    </row>
    <row r="15" spans="1:24" ht="14.5" x14ac:dyDescent="0.25">
      <c r="A15" s="1033"/>
      <c r="B15" s="1031" t="s">
        <v>275</v>
      </c>
      <c r="C15" s="1031"/>
      <c r="D15" s="438">
        <v>2021</v>
      </c>
      <c r="E15" s="438">
        <v>2018</v>
      </c>
      <c r="F15" s="438">
        <v>2016</v>
      </c>
      <c r="G15" s="1030"/>
      <c r="I15" s="1032" t="s">
        <v>276</v>
      </c>
      <c r="J15" s="1031"/>
      <c r="K15" s="438">
        <f>D15</f>
        <v>2021</v>
      </c>
      <c r="L15" s="438">
        <f>E15</f>
        <v>2018</v>
      </c>
      <c r="M15" s="438">
        <v>2016</v>
      </c>
      <c r="N15" s="1030"/>
      <c r="P15" s="1032" t="s">
        <v>277</v>
      </c>
      <c r="Q15" s="1031"/>
      <c r="R15" s="438">
        <f>K15</f>
        <v>2021</v>
      </c>
      <c r="S15" s="438">
        <f>L15</f>
        <v>2018</v>
      </c>
      <c r="T15" s="438">
        <v>2016</v>
      </c>
      <c r="U15" s="1030"/>
      <c r="W15" s="457" t="s">
        <v>276</v>
      </c>
      <c r="X15" s="458">
        <v>2.2000000000000002</v>
      </c>
    </row>
    <row r="16" spans="1:24" ht="13.5" thickBot="1" x14ac:dyDescent="0.3">
      <c r="A16" s="1033"/>
      <c r="B16" s="459">
        <v>1</v>
      </c>
      <c r="C16" s="36">
        <v>15</v>
      </c>
      <c r="D16" s="32">
        <v>0.4</v>
      </c>
      <c r="E16" s="32">
        <v>9.9999999999999995E-7</v>
      </c>
      <c r="F16" s="462"/>
      <c r="G16" s="460">
        <f>0.5*(MAX(D16:F16)-MIN(D16:F16))</f>
        <v>0.19999950000000002</v>
      </c>
      <c r="I16" s="459">
        <v>1</v>
      </c>
      <c r="J16" s="36">
        <v>35</v>
      </c>
      <c r="K16" s="32">
        <v>-6.9</v>
      </c>
      <c r="L16" s="32">
        <v>-1.6</v>
      </c>
      <c r="M16" s="462"/>
      <c r="N16" s="460">
        <f>0.5*(MAX(K16:M16)-MIN(K16:M16))</f>
        <v>2.6500000000000004</v>
      </c>
      <c r="P16" s="459">
        <v>1</v>
      </c>
      <c r="Q16" s="36">
        <v>750</v>
      </c>
      <c r="R16" s="31" t="s">
        <v>243</v>
      </c>
      <c r="S16" s="31" t="s">
        <v>243</v>
      </c>
      <c r="T16" s="462"/>
      <c r="U16" s="460">
        <f>0.5*(MAX(R16:T16)-MIN(R16:T16))</f>
        <v>0</v>
      </c>
      <c r="W16" s="463" t="s">
        <v>277</v>
      </c>
      <c r="X16" s="464">
        <v>0</v>
      </c>
    </row>
    <row r="17" spans="1:24" ht="13" x14ac:dyDescent="0.25">
      <c r="A17" s="1033"/>
      <c r="B17" s="459">
        <v>2</v>
      </c>
      <c r="C17" s="36">
        <v>20</v>
      </c>
      <c r="D17" s="32">
        <v>0.7</v>
      </c>
      <c r="E17" s="32">
        <v>-0.1</v>
      </c>
      <c r="F17" s="462"/>
      <c r="G17" s="460">
        <f t="shared" ref="G17:G22" si="3">0.5*(MAX(D17:F17)-MIN(D17:F17))</f>
        <v>0.39999999999999997</v>
      </c>
      <c r="I17" s="459">
        <v>2</v>
      </c>
      <c r="J17" s="36">
        <v>40</v>
      </c>
      <c r="K17" s="32">
        <v>-6.2</v>
      </c>
      <c r="L17" s="32">
        <v>-1.6</v>
      </c>
      <c r="M17" s="462"/>
      <c r="N17" s="460">
        <f t="shared" ref="N17:N22" si="4">0.5*(MAX(K17:M17)-MIN(K17:M17))</f>
        <v>2.2999999999999998</v>
      </c>
      <c r="P17" s="459">
        <v>2</v>
      </c>
      <c r="Q17" s="36">
        <v>800</v>
      </c>
      <c r="R17" s="31" t="s">
        <v>243</v>
      </c>
      <c r="S17" s="31" t="s">
        <v>243</v>
      </c>
      <c r="T17" s="462"/>
      <c r="U17" s="460">
        <f t="shared" ref="U17:U22" si="5">0.5*(MAX(R17:T17)-MIN(R17:T17))</f>
        <v>0</v>
      </c>
    </row>
    <row r="18" spans="1:24" ht="13" x14ac:dyDescent="0.25">
      <c r="A18" s="1033"/>
      <c r="B18" s="459">
        <v>3</v>
      </c>
      <c r="C18" s="36">
        <v>25</v>
      </c>
      <c r="D18" s="32">
        <v>0.5</v>
      </c>
      <c r="E18" s="32">
        <v>-0.2</v>
      </c>
      <c r="F18" s="462"/>
      <c r="G18" s="460">
        <f t="shared" si="3"/>
        <v>0.35</v>
      </c>
      <c r="I18" s="459">
        <v>3</v>
      </c>
      <c r="J18" s="36">
        <v>50</v>
      </c>
      <c r="K18" s="32">
        <v>-5.3</v>
      </c>
      <c r="L18" s="32">
        <v>-1.5</v>
      </c>
      <c r="M18" s="462"/>
      <c r="N18" s="460">
        <f t="shared" si="4"/>
        <v>1.9</v>
      </c>
      <c r="P18" s="459">
        <v>3</v>
      </c>
      <c r="Q18" s="36">
        <v>850</v>
      </c>
      <c r="R18" s="31" t="s">
        <v>243</v>
      </c>
      <c r="S18" s="31" t="s">
        <v>243</v>
      </c>
      <c r="T18" s="462"/>
      <c r="U18" s="460">
        <f t="shared" si="5"/>
        <v>0</v>
      </c>
    </row>
    <row r="19" spans="1:24" ht="13" x14ac:dyDescent="0.25">
      <c r="A19" s="1033"/>
      <c r="B19" s="459">
        <v>4</v>
      </c>
      <c r="C19" s="465">
        <v>30</v>
      </c>
      <c r="D19" s="466">
        <v>0.2</v>
      </c>
      <c r="E19" s="466">
        <v>-0.3</v>
      </c>
      <c r="F19" s="462"/>
      <c r="G19" s="460">
        <f t="shared" si="3"/>
        <v>0.25</v>
      </c>
      <c r="I19" s="459">
        <v>4</v>
      </c>
      <c r="J19" s="465">
        <v>60</v>
      </c>
      <c r="K19" s="466">
        <v>-4</v>
      </c>
      <c r="L19" s="466">
        <v>-1.3</v>
      </c>
      <c r="M19" s="462"/>
      <c r="N19" s="460">
        <f t="shared" si="4"/>
        <v>1.35</v>
      </c>
      <c r="P19" s="459">
        <v>4</v>
      </c>
      <c r="Q19" s="465">
        <v>900</v>
      </c>
      <c r="R19" s="466" t="s">
        <v>243</v>
      </c>
      <c r="S19" s="466" t="s">
        <v>243</v>
      </c>
      <c r="T19" s="462"/>
      <c r="U19" s="460">
        <f t="shared" si="5"/>
        <v>0</v>
      </c>
    </row>
    <row r="20" spans="1:24" ht="13" x14ac:dyDescent="0.25">
      <c r="A20" s="1033"/>
      <c r="B20" s="459">
        <v>5</v>
      </c>
      <c r="C20" s="465">
        <v>35</v>
      </c>
      <c r="D20" s="466">
        <v>-0.1</v>
      </c>
      <c r="E20" s="466">
        <v>-0.3</v>
      </c>
      <c r="F20" s="462"/>
      <c r="G20" s="460">
        <f t="shared" si="3"/>
        <v>9.9999999999999992E-2</v>
      </c>
      <c r="I20" s="459">
        <v>5</v>
      </c>
      <c r="J20" s="465">
        <v>70</v>
      </c>
      <c r="K20" s="466">
        <v>-2.4</v>
      </c>
      <c r="L20" s="466">
        <v>-1.1000000000000001</v>
      </c>
      <c r="M20" s="462"/>
      <c r="N20" s="460">
        <f t="shared" si="4"/>
        <v>0.64999999999999991</v>
      </c>
      <c r="P20" s="459">
        <v>5</v>
      </c>
      <c r="Q20" s="465">
        <v>1000</v>
      </c>
      <c r="R20" s="466" t="s">
        <v>243</v>
      </c>
      <c r="S20" s="466" t="s">
        <v>243</v>
      </c>
      <c r="T20" s="462"/>
      <c r="U20" s="460">
        <f t="shared" si="5"/>
        <v>0</v>
      </c>
    </row>
    <row r="21" spans="1:24" ht="13" x14ac:dyDescent="0.25">
      <c r="A21" s="1033"/>
      <c r="B21" s="459">
        <v>6</v>
      </c>
      <c r="C21" s="465">
        <v>37</v>
      </c>
      <c r="D21" s="466">
        <v>-0.2</v>
      </c>
      <c r="E21" s="466">
        <v>-0.3</v>
      </c>
      <c r="F21" s="462"/>
      <c r="G21" s="460">
        <f t="shared" si="3"/>
        <v>4.9999999999999989E-2</v>
      </c>
      <c r="I21" s="459">
        <v>6</v>
      </c>
      <c r="J21" s="465">
        <v>80</v>
      </c>
      <c r="K21" s="466">
        <v>-0.5</v>
      </c>
      <c r="L21" s="466">
        <v>-0.7</v>
      </c>
      <c r="M21" s="462"/>
      <c r="N21" s="460">
        <f t="shared" si="4"/>
        <v>9.9999999999999978E-2</v>
      </c>
      <c r="P21" s="459">
        <v>6</v>
      </c>
      <c r="Q21" s="465">
        <v>1005</v>
      </c>
      <c r="R21" s="466" t="s">
        <v>243</v>
      </c>
      <c r="S21" s="466" t="s">
        <v>243</v>
      </c>
      <c r="T21" s="462"/>
      <c r="U21" s="460">
        <f t="shared" si="5"/>
        <v>0</v>
      </c>
    </row>
    <row r="22" spans="1:24" ht="13.5" thickBot="1" x14ac:dyDescent="0.3">
      <c r="A22" s="1033"/>
      <c r="B22" s="459">
        <v>7</v>
      </c>
      <c r="C22" s="465">
        <v>40</v>
      </c>
      <c r="D22" s="466">
        <v>-0.1</v>
      </c>
      <c r="E22" s="466">
        <v>-0.3</v>
      </c>
      <c r="F22" s="462"/>
      <c r="G22" s="460">
        <f t="shared" si="3"/>
        <v>9.9999999999999992E-2</v>
      </c>
      <c r="I22" s="459">
        <v>7</v>
      </c>
      <c r="J22" s="465">
        <v>90</v>
      </c>
      <c r="K22" s="466">
        <v>1.7</v>
      </c>
      <c r="L22" s="466">
        <v>-0.3</v>
      </c>
      <c r="M22" s="462"/>
      <c r="N22" s="460">
        <f t="shared" si="4"/>
        <v>1</v>
      </c>
      <c r="P22" s="459">
        <v>7</v>
      </c>
      <c r="Q22" s="465">
        <v>1020</v>
      </c>
      <c r="R22" s="466" t="s">
        <v>243</v>
      </c>
      <c r="S22" s="466" t="s">
        <v>243</v>
      </c>
      <c r="T22" s="462"/>
      <c r="U22" s="460">
        <f t="shared" si="5"/>
        <v>0</v>
      </c>
    </row>
    <row r="23" spans="1:24" ht="13.5" thickBot="1" x14ac:dyDescent="0.35">
      <c r="A23" s="467"/>
      <c r="B23" s="467"/>
      <c r="O23" s="468"/>
      <c r="P23" s="441"/>
    </row>
    <row r="24" spans="1:24" x14ac:dyDescent="0.25">
      <c r="A24" s="1037">
        <v>3</v>
      </c>
      <c r="B24" s="1034" t="s">
        <v>279</v>
      </c>
      <c r="C24" s="1034"/>
      <c r="D24" s="1034"/>
      <c r="E24" s="1034"/>
      <c r="F24" s="1034"/>
      <c r="G24" s="1034"/>
      <c r="I24" s="1034" t="str">
        <f>B24</f>
        <v>KOREKSI KIMO THERMOHYGROMETER 14082463</v>
      </c>
      <c r="J24" s="1034"/>
      <c r="K24" s="1034"/>
      <c r="L24" s="1034"/>
      <c r="M24" s="1034"/>
      <c r="N24" s="1034"/>
      <c r="P24" s="1034" t="str">
        <f>I24</f>
        <v>KOREKSI KIMO THERMOHYGROMETER 14082463</v>
      </c>
      <c r="Q24" s="1034"/>
      <c r="R24" s="1034"/>
      <c r="S24" s="1034"/>
      <c r="T24" s="1034"/>
      <c r="U24" s="1034"/>
      <c r="W24" s="1028" t="s">
        <v>222</v>
      </c>
      <c r="X24" s="1029"/>
    </row>
    <row r="25" spans="1:24" ht="13" x14ac:dyDescent="0.25">
      <c r="A25" s="1038"/>
      <c r="B25" s="1030" t="s">
        <v>270</v>
      </c>
      <c r="C25" s="1030"/>
      <c r="D25" s="1030" t="s">
        <v>271</v>
      </c>
      <c r="E25" s="1030"/>
      <c r="F25" s="1030"/>
      <c r="G25" s="1030" t="s">
        <v>272</v>
      </c>
      <c r="I25" s="1030" t="s">
        <v>273</v>
      </c>
      <c r="J25" s="1030"/>
      <c r="K25" s="1030" t="s">
        <v>271</v>
      </c>
      <c r="L25" s="1030"/>
      <c r="M25" s="1030"/>
      <c r="N25" s="1030" t="s">
        <v>272</v>
      </c>
      <c r="P25" s="1030" t="s">
        <v>274</v>
      </c>
      <c r="Q25" s="1030"/>
      <c r="R25" s="1030" t="s">
        <v>271</v>
      </c>
      <c r="S25" s="1030"/>
      <c r="T25" s="1030"/>
      <c r="U25" s="1030" t="s">
        <v>272</v>
      </c>
      <c r="W25" s="457" t="s">
        <v>270</v>
      </c>
      <c r="X25" s="458">
        <v>0.5</v>
      </c>
    </row>
    <row r="26" spans="1:24" ht="14.5" x14ac:dyDescent="0.25">
      <c r="A26" s="1038"/>
      <c r="B26" s="1031" t="s">
        <v>275</v>
      </c>
      <c r="C26" s="1031"/>
      <c r="D26" s="438">
        <v>2021</v>
      </c>
      <c r="E26" s="438">
        <v>2018</v>
      </c>
      <c r="F26" s="438">
        <v>2016</v>
      </c>
      <c r="G26" s="1030"/>
      <c r="I26" s="1032" t="s">
        <v>276</v>
      </c>
      <c r="J26" s="1031"/>
      <c r="K26" s="438">
        <f>D26</f>
        <v>2021</v>
      </c>
      <c r="L26" s="438">
        <f>E26</f>
        <v>2018</v>
      </c>
      <c r="M26" s="438">
        <v>2016</v>
      </c>
      <c r="N26" s="1030"/>
      <c r="P26" s="1032" t="s">
        <v>277</v>
      </c>
      <c r="Q26" s="1031"/>
      <c r="R26" s="438">
        <f>K26</f>
        <v>2021</v>
      </c>
      <c r="S26" s="438">
        <f>L26</f>
        <v>2018</v>
      </c>
      <c r="T26" s="438">
        <v>2016</v>
      </c>
      <c r="U26" s="1030"/>
      <c r="W26" s="457" t="s">
        <v>276</v>
      </c>
      <c r="X26" s="458">
        <v>3.1</v>
      </c>
    </row>
    <row r="27" spans="1:24" ht="13.5" thickBot="1" x14ac:dyDescent="0.3">
      <c r="A27" s="1038"/>
      <c r="B27" s="459">
        <v>1</v>
      </c>
      <c r="C27" s="36">
        <v>15</v>
      </c>
      <c r="D27" s="32">
        <v>0.4</v>
      </c>
      <c r="E27" s="32">
        <v>9.9999999999999995E-7</v>
      </c>
      <c r="F27" s="469"/>
      <c r="G27" s="460">
        <f>0.5*(MAX(D27:F27)-MIN(D27:F27))</f>
        <v>0.19999950000000002</v>
      </c>
      <c r="I27" s="459">
        <v>1</v>
      </c>
      <c r="J27" s="36">
        <v>30</v>
      </c>
      <c r="K27" s="32">
        <v>-7.3</v>
      </c>
      <c r="L27" s="32">
        <v>-5.7</v>
      </c>
      <c r="M27" s="32"/>
      <c r="N27" s="460">
        <f>0.5*(MAX(K27:M27)-MIN(K27:M27))</f>
        <v>0.79999999999999982</v>
      </c>
      <c r="P27" s="459">
        <v>1</v>
      </c>
      <c r="Q27" s="36">
        <v>750</v>
      </c>
      <c r="R27" s="31" t="s">
        <v>243</v>
      </c>
      <c r="S27" s="31" t="s">
        <v>243</v>
      </c>
      <c r="T27" s="36"/>
      <c r="U27" s="460">
        <f>0.5*(MAX(R27:T27)-MIN(R27:T27))</f>
        <v>0</v>
      </c>
      <c r="W27" s="463" t="s">
        <v>277</v>
      </c>
      <c r="X27" s="464">
        <v>0</v>
      </c>
    </row>
    <row r="28" spans="1:24" ht="13" x14ac:dyDescent="0.25">
      <c r="A28" s="1038"/>
      <c r="B28" s="459">
        <v>2</v>
      </c>
      <c r="C28" s="36">
        <v>20</v>
      </c>
      <c r="D28" s="32">
        <v>1</v>
      </c>
      <c r="E28" s="32">
        <v>9.9999999999999995E-7</v>
      </c>
      <c r="F28" s="469"/>
      <c r="G28" s="460">
        <f t="shared" ref="G28:G33" si="6">0.5*(MAX(D28:F28)-MIN(D28:F28))</f>
        <v>0.49999949999999999</v>
      </c>
      <c r="I28" s="459">
        <v>2</v>
      </c>
      <c r="J28" s="36">
        <v>40</v>
      </c>
      <c r="K28" s="32">
        <v>-5.9</v>
      </c>
      <c r="L28" s="32">
        <v>-5.3</v>
      </c>
      <c r="M28" s="32"/>
      <c r="N28" s="460">
        <f t="shared" ref="N28:N33" si="7">0.5*(MAX(K28:M28)-MIN(K28:M28))</f>
        <v>0.30000000000000027</v>
      </c>
      <c r="P28" s="459">
        <v>2</v>
      </c>
      <c r="Q28" s="36">
        <v>800</v>
      </c>
      <c r="R28" s="31" t="s">
        <v>243</v>
      </c>
      <c r="S28" s="31" t="s">
        <v>243</v>
      </c>
      <c r="T28" s="36"/>
      <c r="U28" s="460">
        <f t="shared" ref="U28:U33" si="8">0.5*(MAX(R28:T28)-MIN(R28:T28))</f>
        <v>0</v>
      </c>
    </row>
    <row r="29" spans="1:24" ht="13" x14ac:dyDescent="0.25">
      <c r="A29" s="1038"/>
      <c r="B29" s="459">
        <v>3</v>
      </c>
      <c r="C29" s="36">
        <v>25</v>
      </c>
      <c r="D29" s="32">
        <v>0.7</v>
      </c>
      <c r="E29" s="32">
        <v>-0.1</v>
      </c>
      <c r="F29" s="469"/>
      <c r="G29" s="460">
        <f t="shared" si="6"/>
        <v>0.39999999999999997</v>
      </c>
      <c r="I29" s="459">
        <v>3</v>
      </c>
      <c r="J29" s="36">
        <v>50</v>
      </c>
      <c r="K29" s="32">
        <v>-4.5</v>
      </c>
      <c r="L29" s="32">
        <v>-4.9000000000000004</v>
      </c>
      <c r="M29" s="32"/>
      <c r="N29" s="460">
        <f t="shared" si="7"/>
        <v>0.20000000000000018</v>
      </c>
      <c r="P29" s="459">
        <v>3</v>
      </c>
      <c r="Q29" s="36">
        <v>850</v>
      </c>
      <c r="R29" s="31" t="s">
        <v>243</v>
      </c>
      <c r="S29" s="31" t="s">
        <v>243</v>
      </c>
      <c r="T29" s="36"/>
      <c r="U29" s="460">
        <f t="shared" si="8"/>
        <v>0</v>
      </c>
    </row>
    <row r="30" spans="1:24" ht="13" x14ac:dyDescent="0.25">
      <c r="A30" s="1038"/>
      <c r="B30" s="459">
        <v>4</v>
      </c>
      <c r="C30" s="465">
        <v>30</v>
      </c>
      <c r="D30" s="32">
        <v>9.9999999999999995E-7</v>
      </c>
      <c r="E30" s="466">
        <v>-0.3</v>
      </c>
      <c r="F30" s="469"/>
      <c r="G30" s="460">
        <f t="shared" si="6"/>
        <v>0.15000049999999998</v>
      </c>
      <c r="I30" s="459">
        <v>4</v>
      </c>
      <c r="J30" s="465">
        <v>60</v>
      </c>
      <c r="K30" s="466">
        <v>-3.2</v>
      </c>
      <c r="L30" s="466">
        <v>-4.3</v>
      </c>
      <c r="M30" s="32"/>
      <c r="N30" s="460">
        <f t="shared" si="7"/>
        <v>0.54999999999999982</v>
      </c>
      <c r="P30" s="459">
        <v>4</v>
      </c>
      <c r="Q30" s="465">
        <v>900</v>
      </c>
      <c r="R30" s="466" t="s">
        <v>243</v>
      </c>
      <c r="S30" s="466" t="s">
        <v>243</v>
      </c>
      <c r="T30" s="36"/>
      <c r="U30" s="460">
        <f t="shared" si="8"/>
        <v>0</v>
      </c>
    </row>
    <row r="31" spans="1:24" ht="13" x14ac:dyDescent="0.25">
      <c r="A31" s="1038"/>
      <c r="B31" s="459">
        <v>5</v>
      </c>
      <c r="C31" s="465">
        <v>35</v>
      </c>
      <c r="D31" s="466">
        <v>-0.3</v>
      </c>
      <c r="E31" s="466">
        <v>-0.5</v>
      </c>
      <c r="F31" s="469"/>
      <c r="G31" s="460">
        <f t="shared" si="6"/>
        <v>0.1</v>
      </c>
      <c r="I31" s="459">
        <v>5</v>
      </c>
      <c r="J31" s="465">
        <v>70</v>
      </c>
      <c r="K31" s="466">
        <v>-2</v>
      </c>
      <c r="L31" s="466">
        <v>-3.6</v>
      </c>
      <c r="M31" s="32"/>
      <c r="N31" s="460">
        <f t="shared" si="7"/>
        <v>0.8</v>
      </c>
      <c r="P31" s="459">
        <v>5</v>
      </c>
      <c r="Q31" s="465">
        <v>1000</v>
      </c>
      <c r="R31" s="466" t="s">
        <v>243</v>
      </c>
      <c r="S31" s="466" t="s">
        <v>243</v>
      </c>
      <c r="T31" s="36"/>
      <c r="U31" s="460">
        <f t="shared" si="8"/>
        <v>0</v>
      </c>
    </row>
    <row r="32" spans="1:24" ht="13" x14ac:dyDescent="0.25">
      <c r="A32" s="1038"/>
      <c r="B32" s="459">
        <v>6</v>
      </c>
      <c r="C32" s="465">
        <v>37</v>
      </c>
      <c r="D32" s="466">
        <v>-0.2</v>
      </c>
      <c r="E32" s="466">
        <v>-0.6</v>
      </c>
      <c r="F32" s="469"/>
      <c r="G32" s="460">
        <f t="shared" si="6"/>
        <v>0.19999999999999998</v>
      </c>
      <c r="I32" s="459">
        <v>6</v>
      </c>
      <c r="J32" s="465">
        <v>80</v>
      </c>
      <c r="K32" s="466">
        <v>-0.8</v>
      </c>
      <c r="L32" s="466">
        <v>-2.9</v>
      </c>
      <c r="M32" s="32"/>
      <c r="N32" s="460">
        <f t="shared" si="7"/>
        <v>1.0499999999999998</v>
      </c>
      <c r="P32" s="459">
        <v>6</v>
      </c>
      <c r="Q32" s="465">
        <v>1005</v>
      </c>
      <c r="R32" s="466" t="s">
        <v>243</v>
      </c>
      <c r="S32" s="466" t="s">
        <v>243</v>
      </c>
      <c r="T32" s="36"/>
      <c r="U32" s="460">
        <f t="shared" si="8"/>
        <v>0</v>
      </c>
    </row>
    <row r="33" spans="1:24" ht="13.5" thickBot="1" x14ac:dyDescent="0.3">
      <c r="A33" s="1039"/>
      <c r="B33" s="459">
        <v>7</v>
      </c>
      <c r="C33" s="465">
        <v>40</v>
      </c>
      <c r="D33" s="466">
        <v>0.2</v>
      </c>
      <c r="E33" s="466">
        <v>-0.7</v>
      </c>
      <c r="F33" s="469"/>
      <c r="G33" s="460">
        <f t="shared" si="6"/>
        <v>0.44999999999999996</v>
      </c>
      <c r="I33" s="459">
        <v>7</v>
      </c>
      <c r="J33" s="465">
        <v>90</v>
      </c>
      <c r="K33" s="466">
        <v>0.3</v>
      </c>
      <c r="L33" s="466">
        <v>-2</v>
      </c>
      <c r="M33" s="32"/>
      <c r="N33" s="460">
        <f t="shared" si="7"/>
        <v>1.1499999999999999</v>
      </c>
      <c r="P33" s="459">
        <v>7</v>
      </c>
      <c r="Q33" s="465">
        <v>1020</v>
      </c>
      <c r="R33" s="466" t="s">
        <v>243</v>
      </c>
      <c r="S33" s="466" t="s">
        <v>243</v>
      </c>
      <c r="T33" s="36"/>
      <c r="U33" s="460">
        <f t="shared" si="8"/>
        <v>0</v>
      </c>
    </row>
    <row r="34" spans="1:24" ht="13.5" thickBot="1" x14ac:dyDescent="0.35">
      <c r="A34" s="467"/>
      <c r="B34" s="467"/>
      <c r="H34" s="452"/>
      <c r="O34" s="468"/>
      <c r="P34" s="441"/>
    </row>
    <row r="35" spans="1:24" x14ac:dyDescent="0.25">
      <c r="A35" s="1037">
        <v>4</v>
      </c>
      <c r="B35" s="1034" t="s">
        <v>280</v>
      </c>
      <c r="C35" s="1034"/>
      <c r="D35" s="1034"/>
      <c r="E35" s="1034"/>
      <c r="F35" s="1034"/>
      <c r="G35" s="1034"/>
      <c r="I35" s="1034" t="str">
        <f>B35</f>
        <v>KOREKSI KIMO THERMOHYGROMETER 15062872</v>
      </c>
      <c r="J35" s="1034"/>
      <c r="K35" s="1034"/>
      <c r="L35" s="1034"/>
      <c r="M35" s="1034"/>
      <c r="N35" s="1034"/>
      <c r="P35" s="1034" t="str">
        <f>I35</f>
        <v>KOREKSI KIMO THERMOHYGROMETER 15062872</v>
      </c>
      <c r="Q35" s="1034"/>
      <c r="R35" s="1034"/>
      <c r="S35" s="1034"/>
      <c r="T35" s="1034"/>
      <c r="U35" s="1034"/>
      <c r="W35" s="1028" t="s">
        <v>222</v>
      </c>
      <c r="X35" s="1029"/>
    </row>
    <row r="36" spans="1:24" ht="13" x14ac:dyDescent="0.25">
      <c r="A36" s="1038"/>
      <c r="B36" s="1030" t="s">
        <v>270</v>
      </c>
      <c r="C36" s="1030"/>
      <c r="D36" s="1030" t="s">
        <v>271</v>
      </c>
      <c r="E36" s="1030"/>
      <c r="F36" s="1030"/>
      <c r="G36" s="1030" t="s">
        <v>272</v>
      </c>
      <c r="I36" s="1030" t="s">
        <v>273</v>
      </c>
      <c r="J36" s="1030"/>
      <c r="K36" s="1030" t="s">
        <v>271</v>
      </c>
      <c r="L36" s="1030"/>
      <c r="M36" s="1030"/>
      <c r="N36" s="1030" t="s">
        <v>272</v>
      </c>
      <c r="P36" s="1030" t="s">
        <v>274</v>
      </c>
      <c r="Q36" s="1030"/>
      <c r="R36" s="1030" t="s">
        <v>271</v>
      </c>
      <c r="S36" s="1030"/>
      <c r="T36" s="1030"/>
      <c r="U36" s="1030" t="s">
        <v>272</v>
      </c>
      <c r="W36" s="457" t="s">
        <v>270</v>
      </c>
      <c r="X36" s="458">
        <v>0.3</v>
      </c>
    </row>
    <row r="37" spans="1:24" ht="14.5" x14ac:dyDescent="0.25">
      <c r="A37" s="1038"/>
      <c r="B37" s="1031" t="s">
        <v>275</v>
      </c>
      <c r="C37" s="1031"/>
      <c r="D37" s="438">
        <v>2019</v>
      </c>
      <c r="E37" s="438">
        <v>2017</v>
      </c>
      <c r="F37" s="438">
        <v>2016</v>
      </c>
      <c r="G37" s="1030"/>
      <c r="I37" s="1032" t="s">
        <v>276</v>
      </c>
      <c r="J37" s="1031"/>
      <c r="K37" s="438">
        <f>D37</f>
        <v>2019</v>
      </c>
      <c r="L37" s="438">
        <f>E37</f>
        <v>2017</v>
      </c>
      <c r="M37" s="438">
        <v>2016</v>
      </c>
      <c r="N37" s="1030"/>
      <c r="P37" s="1032" t="s">
        <v>277</v>
      </c>
      <c r="Q37" s="1031"/>
      <c r="R37" s="438">
        <f>K37</f>
        <v>2019</v>
      </c>
      <c r="S37" s="438">
        <f>L37</f>
        <v>2017</v>
      </c>
      <c r="T37" s="438">
        <v>2016</v>
      </c>
      <c r="U37" s="1030"/>
      <c r="W37" s="457" t="s">
        <v>276</v>
      </c>
      <c r="X37" s="458">
        <v>1.3</v>
      </c>
    </row>
    <row r="38" spans="1:24" ht="13.5" thickBot="1" x14ac:dyDescent="0.3">
      <c r="A38" s="1038"/>
      <c r="B38" s="459">
        <v>1</v>
      </c>
      <c r="C38" s="36">
        <v>15</v>
      </c>
      <c r="D38" s="32">
        <v>-0.2</v>
      </c>
      <c r="E38" s="32">
        <v>-0.1</v>
      </c>
      <c r="F38" s="462"/>
      <c r="G38" s="460">
        <f>0.5*(MAX(D38:F38)-MIN(D38:F38))</f>
        <v>0.05</v>
      </c>
      <c r="I38" s="459">
        <v>1</v>
      </c>
      <c r="J38" s="36">
        <v>35</v>
      </c>
      <c r="K38" s="32">
        <v>-4.5</v>
      </c>
      <c r="L38" s="32">
        <v>-1.7</v>
      </c>
      <c r="M38" s="462"/>
      <c r="N38" s="460">
        <f>0.5*(MAX(K38:M38)-MIN(K38:M38))</f>
        <v>1.4</v>
      </c>
      <c r="P38" s="459">
        <v>1</v>
      </c>
      <c r="Q38" s="36">
        <v>750</v>
      </c>
      <c r="R38" s="31" t="s">
        <v>243</v>
      </c>
      <c r="S38" s="31" t="s">
        <v>243</v>
      </c>
      <c r="T38" s="462"/>
      <c r="U38" s="460">
        <f>0.5*(MAX(R38:T38)-MIN(R38:T38))</f>
        <v>0</v>
      </c>
      <c r="W38" s="463" t="s">
        <v>277</v>
      </c>
      <c r="X38" s="464">
        <v>0</v>
      </c>
    </row>
    <row r="39" spans="1:24" ht="13" x14ac:dyDescent="0.25">
      <c r="A39" s="1038"/>
      <c r="B39" s="459">
        <v>2</v>
      </c>
      <c r="C39" s="36">
        <v>20</v>
      </c>
      <c r="D39" s="32">
        <v>-0.1</v>
      </c>
      <c r="E39" s="32">
        <v>-0.3</v>
      </c>
      <c r="F39" s="462"/>
      <c r="G39" s="460">
        <f t="shared" ref="G39:G44" si="9">0.5*(MAX(D39:F39)-MIN(D39:F39))</f>
        <v>9.9999999999999992E-2</v>
      </c>
      <c r="I39" s="459">
        <v>2</v>
      </c>
      <c r="J39" s="36">
        <v>40</v>
      </c>
      <c r="K39" s="32">
        <v>-4.4000000000000004</v>
      </c>
      <c r="L39" s="32">
        <v>-1.5</v>
      </c>
      <c r="M39" s="462"/>
      <c r="N39" s="460">
        <f t="shared" ref="N39:N44" si="10">0.5*(MAX(K39:L39)-MIN(K39:L39))</f>
        <v>1.4500000000000002</v>
      </c>
      <c r="P39" s="459">
        <v>2</v>
      </c>
      <c r="Q39" s="36">
        <v>800</v>
      </c>
      <c r="R39" s="31" t="s">
        <v>243</v>
      </c>
      <c r="S39" s="31" t="s">
        <v>243</v>
      </c>
      <c r="T39" s="462"/>
      <c r="U39" s="460">
        <f t="shared" ref="U39:U44" si="11">0.5*(MAX(R39:T39)-MIN(R39:T39))</f>
        <v>0</v>
      </c>
    </row>
    <row r="40" spans="1:24" ht="13" x14ac:dyDescent="0.25">
      <c r="A40" s="1038"/>
      <c r="B40" s="459">
        <v>3</v>
      </c>
      <c r="C40" s="36">
        <v>25</v>
      </c>
      <c r="D40" s="32">
        <v>-0.1</v>
      </c>
      <c r="E40" s="32">
        <v>-0.5</v>
      </c>
      <c r="F40" s="462"/>
      <c r="G40" s="460">
        <f t="shared" si="9"/>
        <v>0.2</v>
      </c>
      <c r="I40" s="459">
        <v>3</v>
      </c>
      <c r="J40" s="36">
        <v>50</v>
      </c>
      <c r="K40" s="32">
        <v>-4.3</v>
      </c>
      <c r="L40" s="32">
        <v>-1</v>
      </c>
      <c r="M40" s="462"/>
      <c r="N40" s="460">
        <f t="shared" si="10"/>
        <v>1.65</v>
      </c>
      <c r="P40" s="459">
        <v>3</v>
      </c>
      <c r="Q40" s="36">
        <v>850</v>
      </c>
      <c r="R40" s="31" t="s">
        <v>243</v>
      </c>
      <c r="S40" s="31" t="s">
        <v>243</v>
      </c>
      <c r="T40" s="462"/>
      <c r="U40" s="460">
        <f t="shared" si="11"/>
        <v>0</v>
      </c>
    </row>
    <row r="41" spans="1:24" ht="13" x14ac:dyDescent="0.25">
      <c r="A41" s="1038"/>
      <c r="B41" s="459">
        <v>4</v>
      </c>
      <c r="C41" s="465">
        <v>30</v>
      </c>
      <c r="D41" s="466">
        <v>-0.1</v>
      </c>
      <c r="E41" s="466">
        <v>-0.6</v>
      </c>
      <c r="F41" s="462"/>
      <c r="G41" s="460">
        <f t="shared" si="9"/>
        <v>0.25</v>
      </c>
      <c r="I41" s="459">
        <v>4</v>
      </c>
      <c r="J41" s="465">
        <v>60</v>
      </c>
      <c r="K41" s="466">
        <v>-4.2</v>
      </c>
      <c r="L41" s="466">
        <v>-0.3</v>
      </c>
      <c r="M41" s="462"/>
      <c r="N41" s="460">
        <f t="shared" si="10"/>
        <v>1.9500000000000002</v>
      </c>
      <c r="P41" s="459">
        <v>4</v>
      </c>
      <c r="Q41" s="465">
        <v>900</v>
      </c>
      <c r="R41" s="466" t="s">
        <v>243</v>
      </c>
      <c r="S41" s="466" t="s">
        <v>243</v>
      </c>
      <c r="T41" s="462"/>
      <c r="U41" s="460">
        <f t="shared" si="11"/>
        <v>0</v>
      </c>
    </row>
    <row r="42" spans="1:24" ht="13" x14ac:dyDescent="0.25">
      <c r="A42" s="1038"/>
      <c r="B42" s="459">
        <v>5</v>
      </c>
      <c r="C42" s="465">
        <v>35</v>
      </c>
      <c r="D42" s="466">
        <v>-0.3</v>
      </c>
      <c r="E42" s="466">
        <v>-0.6</v>
      </c>
      <c r="F42" s="462"/>
      <c r="G42" s="460">
        <f t="shared" si="9"/>
        <v>0.15</v>
      </c>
      <c r="I42" s="459">
        <v>5</v>
      </c>
      <c r="J42" s="465">
        <v>70</v>
      </c>
      <c r="K42" s="466">
        <v>-4</v>
      </c>
      <c r="L42" s="466">
        <v>0.7</v>
      </c>
      <c r="M42" s="462"/>
      <c r="N42" s="460">
        <f t="shared" si="10"/>
        <v>2.35</v>
      </c>
      <c r="P42" s="459">
        <v>5</v>
      </c>
      <c r="Q42" s="465">
        <v>1000</v>
      </c>
      <c r="R42" s="466" t="s">
        <v>243</v>
      </c>
      <c r="S42" s="466" t="s">
        <v>243</v>
      </c>
      <c r="T42" s="462"/>
      <c r="U42" s="460">
        <f t="shared" si="11"/>
        <v>0</v>
      </c>
    </row>
    <row r="43" spans="1:24" ht="13" x14ac:dyDescent="0.25">
      <c r="A43" s="1038"/>
      <c r="B43" s="459">
        <v>6</v>
      </c>
      <c r="C43" s="465">
        <v>37</v>
      </c>
      <c r="D43" s="466">
        <v>-0.4</v>
      </c>
      <c r="E43" s="466">
        <v>-0.6</v>
      </c>
      <c r="F43" s="462"/>
      <c r="G43" s="460">
        <f t="shared" si="9"/>
        <v>9.9999999999999978E-2</v>
      </c>
      <c r="I43" s="459">
        <v>6</v>
      </c>
      <c r="J43" s="465">
        <v>80</v>
      </c>
      <c r="K43" s="466">
        <v>-3.8</v>
      </c>
      <c r="L43" s="466">
        <v>1.9</v>
      </c>
      <c r="M43" s="462"/>
      <c r="N43" s="460">
        <f t="shared" si="10"/>
        <v>2.8499999999999996</v>
      </c>
      <c r="P43" s="459">
        <v>6</v>
      </c>
      <c r="Q43" s="465">
        <v>1005</v>
      </c>
      <c r="R43" s="466" t="s">
        <v>243</v>
      </c>
      <c r="S43" s="466" t="s">
        <v>243</v>
      </c>
      <c r="T43" s="462"/>
      <c r="U43" s="460">
        <f t="shared" si="11"/>
        <v>0</v>
      </c>
    </row>
    <row r="44" spans="1:24" ht="13.5" thickBot="1" x14ac:dyDescent="0.3">
      <c r="A44" s="1039"/>
      <c r="B44" s="459">
        <v>7</v>
      </c>
      <c r="C44" s="465">
        <v>40</v>
      </c>
      <c r="D44" s="466">
        <v>-0.5</v>
      </c>
      <c r="E44" s="466">
        <v>-0.6</v>
      </c>
      <c r="F44" s="462"/>
      <c r="G44" s="460">
        <f t="shared" si="9"/>
        <v>4.9999999999999989E-2</v>
      </c>
      <c r="I44" s="459">
        <v>7</v>
      </c>
      <c r="J44" s="465">
        <v>90</v>
      </c>
      <c r="K44" s="466">
        <v>-3.5</v>
      </c>
      <c r="L44" s="466">
        <v>3.3</v>
      </c>
      <c r="M44" s="462"/>
      <c r="N44" s="460">
        <f t="shared" si="10"/>
        <v>3.4</v>
      </c>
      <c r="P44" s="459">
        <v>7</v>
      </c>
      <c r="Q44" s="465">
        <v>1020</v>
      </c>
      <c r="R44" s="466" t="s">
        <v>243</v>
      </c>
      <c r="S44" s="466" t="s">
        <v>243</v>
      </c>
      <c r="T44" s="462"/>
      <c r="U44" s="460">
        <f t="shared" si="11"/>
        <v>0</v>
      </c>
    </row>
    <row r="45" spans="1:24" ht="13.5" thickBot="1" x14ac:dyDescent="0.35">
      <c r="A45" s="467"/>
      <c r="B45" s="467"/>
      <c r="O45" s="468"/>
      <c r="P45" s="441"/>
    </row>
    <row r="46" spans="1:24" x14ac:dyDescent="0.25">
      <c r="A46" s="1037">
        <v>5</v>
      </c>
      <c r="B46" s="1034" t="s">
        <v>281</v>
      </c>
      <c r="C46" s="1034"/>
      <c r="D46" s="1034"/>
      <c r="E46" s="1034"/>
      <c r="F46" s="1034"/>
      <c r="G46" s="1034"/>
      <c r="I46" s="1034" t="str">
        <f>B46</f>
        <v>KOREKSI KIMO THERMOHYGROMETER 15062875</v>
      </c>
      <c r="J46" s="1034"/>
      <c r="K46" s="1034"/>
      <c r="L46" s="1034"/>
      <c r="M46" s="1034"/>
      <c r="N46" s="1034"/>
      <c r="P46" s="1034" t="str">
        <f>I46</f>
        <v>KOREKSI KIMO THERMOHYGROMETER 15062875</v>
      </c>
      <c r="Q46" s="1034"/>
      <c r="R46" s="1034"/>
      <c r="S46" s="1034"/>
      <c r="T46" s="1034"/>
      <c r="U46" s="1034"/>
      <c r="W46" s="1028" t="s">
        <v>222</v>
      </c>
      <c r="X46" s="1029"/>
    </row>
    <row r="47" spans="1:24" ht="13" x14ac:dyDescent="0.25">
      <c r="A47" s="1038"/>
      <c r="B47" s="1030" t="s">
        <v>270</v>
      </c>
      <c r="C47" s="1030"/>
      <c r="D47" s="1030" t="s">
        <v>271</v>
      </c>
      <c r="E47" s="1030"/>
      <c r="F47" s="1030"/>
      <c r="G47" s="1030" t="s">
        <v>272</v>
      </c>
      <c r="I47" s="1030" t="s">
        <v>273</v>
      </c>
      <c r="J47" s="1030"/>
      <c r="K47" s="1030" t="s">
        <v>271</v>
      </c>
      <c r="L47" s="1030"/>
      <c r="M47" s="1030"/>
      <c r="N47" s="1030" t="s">
        <v>272</v>
      </c>
      <c r="P47" s="1030" t="s">
        <v>274</v>
      </c>
      <c r="Q47" s="1030"/>
      <c r="R47" s="1030" t="s">
        <v>271</v>
      </c>
      <c r="S47" s="1030"/>
      <c r="T47" s="1030"/>
      <c r="U47" s="1030" t="s">
        <v>272</v>
      </c>
      <c r="W47" s="457" t="s">
        <v>270</v>
      </c>
      <c r="X47" s="458">
        <v>0.4</v>
      </c>
    </row>
    <row r="48" spans="1:24" ht="14.5" x14ac:dyDescent="0.25">
      <c r="A48" s="1038"/>
      <c r="B48" s="1031" t="s">
        <v>275</v>
      </c>
      <c r="C48" s="1031"/>
      <c r="D48" s="438">
        <v>2020</v>
      </c>
      <c r="E48" s="438">
        <v>2017</v>
      </c>
      <c r="F48" s="438">
        <v>2016</v>
      </c>
      <c r="G48" s="1030"/>
      <c r="I48" s="1032" t="s">
        <v>276</v>
      </c>
      <c r="J48" s="1031"/>
      <c r="K48" s="438">
        <f>D48</f>
        <v>2020</v>
      </c>
      <c r="L48" s="438">
        <f>E48</f>
        <v>2017</v>
      </c>
      <c r="M48" s="438">
        <v>2016</v>
      </c>
      <c r="N48" s="1030"/>
      <c r="P48" s="1032" t="s">
        <v>277</v>
      </c>
      <c r="Q48" s="1031"/>
      <c r="R48" s="438">
        <f>K48</f>
        <v>2020</v>
      </c>
      <c r="S48" s="438">
        <f>L48</f>
        <v>2017</v>
      </c>
      <c r="T48" s="438">
        <v>2016</v>
      </c>
      <c r="U48" s="1030"/>
      <c r="W48" s="457" t="s">
        <v>276</v>
      </c>
      <c r="X48" s="458">
        <v>2.8</v>
      </c>
    </row>
    <row r="49" spans="1:24" ht="13.5" thickBot="1" x14ac:dyDescent="0.3">
      <c r="A49" s="1038"/>
      <c r="B49" s="459">
        <v>1</v>
      </c>
      <c r="C49" s="36">
        <v>15</v>
      </c>
      <c r="D49" s="32">
        <v>-0.3</v>
      </c>
      <c r="E49" s="32">
        <v>0.3</v>
      </c>
      <c r="F49" s="462"/>
      <c r="G49" s="460">
        <f>0.5*(MAX(D49:F49)-MIN(D49:F49))</f>
        <v>0.3</v>
      </c>
      <c r="I49" s="459">
        <v>1</v>
      </c>
      <c r="J49" s="36">
        <v>35</v>
      </c>
      <c r="K49" s="32">
        <v>-7.7</v>
      </c>
      <c r="L49" s="32">
        <v>-9.6</v>
      </c>
      <c r="M49" s="462"/>
      <c r="N49" s="460">
        <f>0.5*(MAX(K49:M49)-MIN(K49:M49))</f>
        <v>0.94999999999999973</v>
      </c>
      <c r="P49" s="459">
        <v>1</v>
      </c>
      <c r="Q49" s="36">
        <v>750</v>
      </c>
      <c r="R49" s="31" t="s">
        <v>243</v>
      </c>
      <c r="S49" s="31" t="s">
        <v>243</v>
      </c>
      <c r="T49" s="462"/>
      <c r="U49" s="460">
        <f>0.5*(MAX(R49:T49)-MIN(R49:T49))</f>
        <v>0</v>
      </c>
      <c r="W49" s="463" t="s">
        <v>277</v>
      </c>
      <c r="X49" s="464">
        <v>0</v>
      </c>
    </row>
    <row r="50" spans="1:24" ht="13" x14ac:dyDescent="0.25">
      <c r="A50" s="1038"/>
      <c r="B50" s="459">
        <v>2</v>
      </c>
      <c r="C50" s="36">
        <v>20</v>
      </c>
      <c r="D50" s="32">
        <v>0.1</v>
      </c>
      <c r="E50" s="32">
        <v>0.3</v>
      </c>
      <c r="F50" s="462"/>
      <c r="G50" s="460">
        <f t="shared" ref="G50:G55" si="12">0.5*(MAX(D50:F50)-MIN(D50:F50))</f>
        <v>9.9999999999999992E-2</v>
      </c>
      <c r="I50" s="459">
        <v>2</v>
      </c>
      <c r="J50" s="36">
        <v>40</v>
      </c>
      <c r="K50" s="32">
        <v>-7.2</v>
      </c>
      <c r="L50" s="32">
        <v>-8</v>
      </c>
      <c r="M50" s="462"/>
      <c r="N50" s="460">
        <f t="shared" ref="N50:N55" si="13">0.5*(MAX(K50:M50)-MIN(K50:M50))</f>
        <v>0.39999999999999991</v>
      </c>
      <c r="P50" s="459">
        <v>2</v>
      </c>
      <c r="Q50" s="36">
        <v>800</v>
      </c>
      <c r="R50" s="31" t="s">
        <v>243</v>
      </c>
      <c r="S50" s="31" t="s">
        <v>243</v>
      </c>
      <c r="T50" s="462"/>
      <c r="U50" s="460">
        <f t="shared" ref="U50:U55" si="14">0.5*(MAX(R50:T50)-MIN(R50:T50))</f>
        <v>0</v>
      </c>
    </row>
    <row r="51" spans="1:24" ht="13" x14ac:dyDescent="0.25">
      <c r="A51" s="1038"/>
      <c r="B51" s="459">
        <v>3</v>
      </c>
      <c r="C51" s="36">
        <v>25</v>
      </c>
      <c r="D51" s="32">
        <v>0.4</v>
      </c>
      <c r="E51" s="32">
        <v>0.2</v>
      </c>
      <c r="F51" s="462"/>
      <c r="G51" s="460">
        <f t="shared" si="12"/>
        <v>0.1</v>
      </c>
      <c r="I51" s="459">
        <v>3</v>
      </c>
      <c r="J51" s="36">
        <v>50</v>
      </c>
      <c r="K51" s="32">
        <v>-6.2</v>
      </c>
      <c r="L51" s="32">
        <v>-6.2</v>
      </c>
      <c r="M51" s="462"/>
      <c r="N51" s="460">
        <f t="shared" si="13"/>
        <v>0</v>
      </c>
      <c r="P51" s="459">
        <v>3</v>
      </c>
      <c r="Q51" s="36">
        <v>850</v>
      </c>
      <c r="R51" s="31" t="s">
        <v>243</v>
      </c>
      <c r="S51" s="31" t="s">
        <v>243</v>
      </c>
      <c r="T51" s="462"/>
      <c r="U51" s="460">
        <f t="shared" si="14"/>
        <v>0</v>
      </c>
    </row>
    <row r="52" spans="1:24" ht="13" x14ac:dyDescent="0.25">
      <c r="A52" s="1038"/>
      <c r="B52" s="459">
        <v>4</v>
      </c>
      <c r="C52" s="465">
        <v>30</v>
      </c>
      <c r="D52" s="466">
        <v>0.6</v>
      </c>
      <c r="E52" s="466">
        <v>0.1</v>
      </c>
      <c r="F52" s="462"/>
      <c r="G52" s="460">
        <f t="shared" si="12"/>
        <v>0.25</v>
      </c>
      <c r="I52" s="459">
        <v>4</v>
      </c>
      <c r="J52" s="465">
        <v>60</v>
      </c>
      <c r="K52" s="466">
        <v>-5.2</v>
      </c>
      <c r="L52" s="466">
        <v>-4.2</v>
      </c>
      <c r="M52" s="462"/>
      <c r="N52" s="460">
        <f t="shared" si="13"/>
        <v>0.5</v>
      </c>
      <c r="P52" s="459">
        <v>4</v>
      </c>
      <c r="Q52" s="465">
        <v>900</v>
      </c>
      <c r="R52" s="466" t="s">
        <v>243</v>
      </c>
      <c r="S52" s="466" t="s">
        <v>243</v>
      </c>
      <c r="T52" s="462"/>
      <c r="U52" s="460">
        <f t="shared" si="14"/>
        <v>0</v>
      </c>
    </row>
    <row r="53" spans="1:24" ht="13" x14ac:dyDescent="0.25">
      <c r="A53" s="1038"/>
      <c r="B53" s="459">
        <v>5</v>
      </c>
      <c r="C53" s="465">
        <v>35</v>
      </c>
      <c r="D53" s="466">
        <v>0.7</v>
      </c>
      <c r="E53" s="32">
        <v>9.9999999999999995E-7</v>
      </c>
      <c r="F53" s="462"/>
      <c r="G53" s="460">
        <f t="shared" si="12"/>
        <v>0.34999949999999996</v>
      </c>
      <c r="I53" s="459">
        <v>5</v>
      </c>
      <c r="J53" s="465">
        <v>70</v>
      </c>
      <c r="K53" s="466">
        <v>-4.0999999999999996</v>
      </c>
      <c r="L53" s="466">
        <v>-2.1</v>
      </c>
      <c r="M53" s="462"/>
      <c r="N53" s="460">
        <f t="shared" si="13"/>
        <v>0.99999999999999978</v>
      </c>
      <c r="P53" s="459">
        <v>5</v>
      </c>
      <c r="Q53" s="465">
        <v>1000</v>
      </c>
      <c r="R53" s="466" t="s">
        <v>243</v>
      </c>
      <c r="S53" s="466" t="s">
        <v>243</v>
      </c>
      <c r="T53" s="462"/>
      <c r="U53" s="460">
        <f t="shared" si="14"/>
        <v>0</v>
      </c>
    </row>
    <row r="54" spans="1:24" ht="13" x14ac:dyDescent="0.25">
      <c r="A54" s="1038"/>
      <c r="B54" s="459">
        <v>6</v>
      </c>
      <c r="C54" s="465">
        <v>37</v>
      </c>
      <c r="D54" s="466">
        <v>0.7</v>
      </c>
      <c r="E54" s="32">
        <v>9.9999999999999995E-7</v>
      </c>
      <c r="F54" s="462"/>
      <c r="G54" s="460">
        <f t="shared" si="12"/>
        <v>0.34999949999999996</v>
      </c>
      <c r="I54" s="459">
        <v>6</v>
      </c>
      <c r="J54" s="465">
        <v>80</v>
      </c>
      <c r="K54" s="466">
        <v>-3</v>
      </c>
      <c r="L54" s="466">
        <v>0.2</v>
      </c>
      <c r="M54" s="462"/>
      <c r="N54" s="460">
        <f t="shared" si="13"/>
        <v>1.6</v>
      </c>
      <c r="P54" s="459">
        <v>6</v>
      </c>
      <c r="Q54" s="465">
        <v>1005</v>
      </c>
      <c r="R54" s="466" t="s">
        <v>243</v>
      </c>
      <c r="S54" s="466" t="s">
        <v>243</v>
      </c>
      <c r="T54" s="462"/>
      <c r="U54" s="460">
        <f t="shared" si="14"/>
        <v>0</v>
      </c>
    </row>
    <row r="55" spans="1:24" ht="13.5" thickBot="1" x14ac:dyDescent="0.3">
      <c r="A55" s="1039"/>
      <c r="B55" s="459">
        <v>7</v>
      </c>
      <c r="C55" s="465">
        <v>40</v>
      </c>
      <c r="D55" s="466">
        <v>0.7</v>
      </c>
      <c r="E55" s="466">
        <v>-0.1</v>
      </c>
      <c r="F55" s="462"/>
      <c r="G55" s="460">
        <f t="shared" si="12"/>
        <v>0.39999999999999997</v>
      </c>
      <c r="I55" s="459">
        <v>7</v>
      </c>
      <c r="J55" s="465">
        <v>90</v>
      </c>
      <c r="K55" s="466">
        <v>-1.8</v>
      </c>
      <c r="L55" s="466">
        <v>2.7</v>
      </c>
      <c r="M55" s="462"/>
      <c r="N55" s="460">
        <f t="shared" si="13"/>
        <v>2.25</v>
      </c>
      <c r="P55" s="459">
        <v>7</v>
      </c>
      <c r="Q55" s="465">
        <v>1020</v>
      </c>
      <c r="R55" s="466" t="s">
        <v>243</v>
      </c>
      <c r="S55" s="466" t="s">
        <v>243</v>
      </c>
      <c r="T55" s="462"/>
      <c r="U55" s="460">
        <f t="shared" si="14"/>
        <v>0</v>
      </c>
    </row>
    <row r="56" spans="1:24" ht="13.5" thickBot="1" x14ac:dyDescent="0.35">
      <c r="A56" s="46"/>
      <c r="B56" s="310"/>
      <c r="C56" s="310"/>
      <c r="D56" s="310"/>
      <c r="E56" s="470"/>
      <c r="F56" s="41"/>
      <c r="G56" s="435"/>
      <c r="H56" s="310"/>
      <c r="I56" s="310"/>
      <c r="J56" s="310"/>
      <c r="K56" s="470"/>
      <c r="L56" s="41"/>
      <c r="O56" s="468"/>
      <c r="P56" s="441"/>
    </row>
    <row r="57" spans="1:24" x14ac:dyDescent="0.25">
      <c r="A57" s="1033">
        <v>6</v>
      </c>
      <c r="B57" s="1034" t="s">
        <v>282</v>
      </c>
      <c r="C57" s="1034"/>
      <c r="D57" s="1034"/>
      <c r="E57" s="1034"/>
      <c r="F57" s="1034"/>
      <c r="G57" s="1034"/>
      <c r="I57" s="1034" t="str">
        <f>B57</f>
        <v>KOREKSI GREISINGER 34903046</v>
      </c>
      <c r="J57" s="1034"/>
      <c r="K57" s="1034"/>
      <c r="L57" s="1034"/>
      <c r="M57" s="1034"/>
      <c r="N57" s="1034"/>
      <c r="P57" s="1034" t="str">
        <f>I57</f>
        <v>KOREKSI GREISINGER 34903046</v>
      </c>
      <c r="Q57" s="1034"/>
      <c r="R57" s="1034"/>
      <c r="S57" s="1034"/>
      <c r="T57" s="1034"/>
      <c r="U57" s="1034"/>
      <c r="W57" s="1028" t="s">
        <v>222</v>
      </c>
      <c r="X57" s="1029"/>
    </row>
    <row r="58" spans="1:24" ht="13" x14ac:dyDescent="0.25">
      <c r="A58" s="1033"/>
      <c r="B58" s="1030" t="s">
        <v>270</v>
      </c>
      <c r="C58" s="1030"/>
      <c r="D58" s="1030" t="s">
        <v>271</v>
      </c>
      <c r="E58" s="1030"/>
      <c r="F58" s="1030"/>
      <c r="G58" s="1030" t="s">
        <v>272</v>
      </c>
      <c r="I58" s="1030" t="s">
        <v>273</v>
      </c>
      <c r="J58" s="1030"/>
      <c r="K58" s="1030" t="s">
        <v>271</v>
      </c>
      <c r="L58" s="1030"/>
      <c r="M58" s="1030"/>
      <c r="N58" s="1030" t="s">
        <v>272</v>
      </c>
      <c r="P58" s="1030" t="s">
        <v>274</v>
      </c>
      <c r="Q58" s="1030"/>
      <c r="R58" s="1040" t="s">
        <v>271</v>
      </c>
      <c r="S58" s="1041"/>
      <c r="T58" s="1042"/>
      <c r="U58" s="1030" t="s">
        <v>272</v>
      </c>
      <c r="W58" s="457" t="s">
        <v>270</v>
      </c>
      <c r="X58" s="458">
        <v>0.8</v>
      </c>
    </row>
    <row r="59" spans="1:24" ht="14.5" x14ac:dyDescent="0.25">
      <c r="A59" s="1033"/>
      <c r="B59" s="1031" t="s">
        <v>275</v>
      </c>
      <c r="C59" s="1031"/>
      <c r="D59" s="438">
        <v>2019</v>
      </c>
      <c r="E59" s="438">
        <v>2018</v>
      </c>
      <c r="F59" s="438">
        <v>2016</v>
      </c>
      <c r="G59" s="1030"/>
      <c r="I59" s="1032" t="s">
        <v>276</v>
      </c>
      <c r="J59" s="1031"/>
      <c r="K59" s="438">
        <f>D59</f>
        <v>2019</v>
      </c>
      <c r="L59" s="438">
        <f>E59</f>
        <v>2018</v>
      </c>
      <c r="M59" s="438">
        <v>2016</v>
      </c>
      <c r="N59" s="1030"/>
      <c r="P59" s="1032" t="s">
        <v>277</v>
      </c>
      <c r="Q59" s="1031"/>
      <c r="R59" s="438">
        <f>K59</f>
        <v>2019</v>
      </c>
      <c r="S59" s="438">
        <f>L59</f>
        <v>2018</v>
      </c>
      <c r="T59" s="438">
        <v>2016</v>
      </c>
      <c r="U59" s="1030"/>
      <c r="W59" s="457" t="s">
        <v>276</v>
      </c>
      <c r="X59" s="458">
        <v>2.6</v>
      </c>
    </row>
    <row r="60" spans="1:24" ht="13.5" thickBot="1" x14ac:dyDescent="0.3">
      <c r="A60" s="1033"/>
      <c r="B60" s="459">
        <v>1</v>
      </c>
      <c r="C60" s="36">
        <v>15</v>
      </c>
      <c r="D60" s="36">
        <v>0.4</v>
      </c>
      <c r="E60" s="36">
        <v>0.4</v>
      </c>
      <c r="F60" s="462"/>
      <c r="G60" s="460">
        <f>0.5*(MAX(D60:F60)-MIN(D60:F60))</f>
        <v>0</v>
      </c>
      <c r="I60" s="459">
        <v>1</v>
      </c>
      <c r="J60" s="36">
        <v>30</v>
      </c>
      <c r="K60" s="36">
        <v>-1.5</v>
      </c>
      <c r="L60" s="36">
        <v>1.7</v>
      </c>
      <c r="M60" s="462"/>
      <c r="N60" s="460">
        <f>0.5*(MAX(K60:M60)-MIN(K60:M60))</f>
        <v>1.6</v>
      </c>
      <c r="P60" s="459">
        <v>1</v>
      </c>
      <c r="Q60" s="36">
        <v>750</v>
      </c>
      <c r="R60" s="36">
        <v>0.9</v>
      </c>
      <c r="S60" s="36">
        <v>2.1</v>
      </c>
      <c r="T60" s="462"/>
      <c r="U60" s="460">
        <f>0.5*(MAX(R60:T60)-MIN(R60:T60))</f>
        <v>0.60000000000000009</v>
      </c>
      <c r="W60" s="463" t="s">
        <v>277</v>
      </c>
      <c r="X60" s="464">
        <v>1.6</v>
      </c>
    </row>
    <row r="61" spans="1:24" ht="13" x14ac:dyDescent="0.25">
      <c r="A61" s="1033"/>
      <c r="B61" s="459">
        <v>2</v>
      </c>
      <c r="C61" s="36">
        <v>20</v>
      </c>
      <c r="D61" s="36">
        <v>0.3</v>
      </c>
      <c r="E61" s="36">
        <v>0.2</v>
      </c>
      <c r="F61" s="462"/>
      <c r="G61" s="460">
        <f t="shared" ref="G61:G66" si="15">0.5*(MAX(D61:F61)-MIN(D61:F61))</f>
        <v>4.9999999999999989E-2</v>
      </c>
      <c r="I61" s="459">
        <v>2</v>
      </c>
      <c r="J61" s="36">
        <v>40</v>
      </c>
      <c r="K61" s="36">
        <v>-3.8</v>
      </c>
      <c r="L61" s="36">
        <v>1.5</v>
      </c>
      <c r="M61" s="462"/>
      <c r="N61" s="460">
        <f t="shared" ref="N61:N66" si="16">0.5*(MAX(K61:M61)-MIN(K61:M61))</f>
        <v>2.65</v>
      </c>
      <c r="P61" s="459">
        <v>2</v>
      </c>
      <c r="Q61" s="36">
        <v>800</v>
      </c>
      <c r="R61" s="36">
        <v>0.9</v>
      </c>
      <c r="S61" s="36">
        <v>1.6</v>
      </c>
      <c r="T61" s="462"/>
      <c r="U61" s="460">
        <f t="shared" ref="U61:U66" si="17">0.5*(MAX(R61:T61)-MIN(R61:T61))</f>
        <v>0.35000000000000003</v>
      </c>
    </row>
    <row r="62" spans="1:24" ht="13" x14ac:dyDescent="0.25">
      <c r="A62" s="1033"/>
      <c r="B62" s="459">
        <v>3</v>
      </c>
      <c r="C62" s="36">
        <v>25</v>
      </c>
      <c r="D62" s="36">
        <v>0.2</v>
      </c>
      <c r="E62" s="36">
        <v>-0.1</v>
      </c>
      <c r="F62" s="462"/>
      <c r="G62" s="460">
        <f t="shared" si="15"/>
        <v>0.15000000000000002</v>
      </c>
      <c r="I62" s="459">
        <v>3</v>
      </c>
      <c r="J62" s="36">
        <v>50</v>
      </c>
      <c r="K62" s="36">
        <v>-5.4</v>
      </c>
      <c r="L62" s="36">
        <v>1.2</v>
      </c>
      <c r="M62" s="462"/>
      <c r="N62" s="460">
        <f t="shared" si="16"/>
        <v>3.3000000000000003</v>
      </c>
      <c r="P62" s="459">
        <v>3</v>
      </c>
      <c r="Q62" s="36">
        <v>850</v>
      </c>
      <c r="R62" s="36">
        <v>0.9</v>
      </c>
      <c r="S62" s="36">
        <v>1.1000000000000001</v>
      </c>
      <c r="T62" s="462"/>
      <c r="U62" s="460">
        <f t="shared" si="17"/>
        <v>0.10000000000000003</v>
      </c>
    </row>
    <row r="63" spans="1:24" ht="13" x14ac:dyDescent="0.25">
      <c r="A63" s="1033"/>
      <c r="B63" s="459">
        <v>4</v>
      </c>
      <c r="C63" s="465">
        <v>30</v>
      </c>
      <c r="D63" s="465">
        <v>0.1</v>
      </c>
      <c r="E63" s="465">
        <v>-0.5</v>
      </c>
      <c r="F63" s="462"/>
      <c r="G63" s="460">
        <f t="shared" si="15"/>
        <v>0.3</v>
      </c>
      <c r="I63" s="459">
        <v>4</v>
      </c>
      <c r="J63" s="465">
        <v>60</v>
      </c>
      <c r="K63" s="465">
        <v>-6.4</v>
      </c>
      <c r="L63" s="465">
        <v>1.1000000000000001</v>
      </c>
      <c r="M63" s="462"/>
      <c r="N63" s="460">
        <f t="shared" si="16"/>
        <v>3.75</v>
      </c>
      <c r="P63" s="459">
        <v>4</v>
      </c>
      <c r="Q63" s="465">
        <v>900</v>
      </c>
      <c r="R63" s="465">
        <v>0.9</v>
      </c>
      <c r="S63" s="465">
        <v>0.7</v>
      </c>
      <c r="T63" s="462"/>
      <c r="U63" s="460">
        <f t="shared" si="17"/>
        <v>0.10000000000000003</v>
      </c>
    </row>
    <row r="64" spans="1:24" ht="13" x14ac:dyDescent="0.25">
      <c r="A64" s="1033"/>
      <c r="B64" s="459">
        <v>5</v>
      </c>
      <c r="C64" s="465">
        <v>35</v>
      </c>
      <c r="D64" s="465">
        <v>0.1</v>
      </c>
      <c r="E64" s="465">
        <v>-0.9</v>
      </c>
      <c r="F64" s="462"/>
      <c r="G64" s="460">
        <f t="shared" si="15"/>
        <v>0.5</v>
      </c>
      <c r="I64" s="459">
        <v>5</v>
      </c>
      <c r="J64" s="465">
        <v>70</v>
      </c>
      <c r="K64" s="465">
        <v>-6.7</v>
      </c>
      <c r="L64" s="465">
        <v>0.9</v>
      </c>
      <c r="M64" s="462"/>
      <c r="N64" s="460">
        <f t="shared" si="16"/>
        <v>3.8000000000000003</v>
      </c>
      <c r="P64" s="459">
        <v>5</v>
      </c>
      <c r="Q64" s="465">
        <v>1000</v>
      </c>
      <c r="R64" s="465">
        <v>0.9</v>
      </c>
      <c r="S64" s="465">
        <v>-0.3</v>
      </c>
      <c r="T64" s="462"/>
      <c r="U64" s="460">
        <f t="shared" si="17"/>
        <v>0.6</v>
      </c>
    </row>
    <row r="65" spans="1:24" ht="13" x14ac:dyDescent="0.25">
      <c r="A65" s="1033"/>
      <c r="B65" s="459">
        <v>6</v>
      </c>
      <c r="C65" s="465">
        <v>37</v>
      </c>
      <c r="D65" s="465">
        <v>0.1</v>
      </c>
      <c r="E65" s="465">
        <v>-1.1000000000000001</v>
      </c>
      <c r="F65" s="462"/>
      <c r="G65" s="460">
        <f t="shared" si="15"/>
        <v>0.60000000000000009</v>
      </c>
      <c r="I65" s="459">
        <v>6</v>
      </c>
      <c r="J65" s="465">
        <v>80</v>
      </c>
      <c r="K65" s="465">
        <v>-6.3</v>
      </c>
      <c r="L65" s="465">
        <v>0.8</v>
      </c>
      <c r="M65" s="462"/>
      <c r="N65" s="460">
        <f t="shared" si="16"/>
        <v>3.55</v>
      </c>
      <c r="P65" s="459">
        <v>6</v>
      </c>
      <c r="Q65" s="465">
        <v>1005</v>
      </c>
      <c r="R65" s="465">
        <v>0.9</v>
      </c>
      <c r="S65" s="465">
        <v>-0.3</v>
      </c>
      <c r="T65" s="462"/>
      <c r="U65" s="460">
        <f t="shared" si="17"/>
        <v>0.6</v>
      </c>
    </row>
    <row r="66" spans="1:24" ht="13" x14ac:dyDescent="0.25">
      <c r="A66" s="1033"/>
      <c r="B66" s="459">
        <v>7</v>
      </c>
      <c r="C66" s="465">
        <v>40</v>
      </c>
      <c r="D66" s="465">
        <v>0.1</v>
      </c>
      <c r="E66" s="465">
        <v>-1.4</v>
      </c>
      <c r="F66" s="462"/>
      <c r="G66" s="460">
        <f t="shared" si="15"/>
        <v>0.75</v>
      </c>
      <c r="I66" s="459">
        <v>7</v>
      </c>
      <c r="J66" s="465">
        <v>90</v>
      </c>
      <c r="K66" s="465">
        <v>-5.2</v>
      </c>
      <c r="L66" s="465">
        <v>0.7</v>
      </c>
      <c r="M66" s="462"/>
      <c r="N66" s="460">
        <f t="shared" si="16"/>
        <v>2.95</v>
      </c>
      <c r="P66" s="459">
        <v>7</v>
      </c>
      <c r="Q66" s="465">
        <v>1020</v>
      </c>
      <c r="R66" s="465">
        <v>0.9</v>
      </c>
      <c r="S66" s="32">
        <v>9.9999999999999995E-7</v>
      </c>
      <c r="T66" s="462"/>
      <c r="U66" s="460">
        <f t="shared" si="17"/>
        <v>0.4499995</v>
      </c>
    </row>
    <row r="67" spans="1:24" ht="13.5" thickBot="1" x14ac:dyDescent="0.35">
      <c r="A67" s="46"/>
      <c r="B67" s="310"/>
      <c r="C67" s="310"/>
      <c r="D67" s="310"/>
      <c r="E67" s="470"/>
      <c r="F67" s="41"/>
      <c r="G67" s="435"/>
      <c r="I67" s="310"/>
      <c r="J67" s="310"/>
      <c r="K67" s="310"/>
      <c r="L67" s="470"/>
      <c r="M67" s="41"/>
      <c r="R67" s="441"/>
    </row>
    <row r="68" spans="1:24" x14ac:dyDescent="0.25">
      <c r="A68" s="1033">
        <v>7</v>
      </c>
      <c r="B68" s="1034" t="s">
        <v>283</v>
      </c>
      <c r="C68" s="1034"/>
      <c r="D68" s="1034"/>
      <c r="E68" s="1034"/>
      <c r="F68" s="1034"/>
      <c r="G68" s="1034"/>
      <c r="I68" s="1034" t="str">
        <f>B68</f>
        <v>KOREKSI GREISINGER 34903053</v>
      </c>
      <c r="J68" s="1034"/>
      <c r="K68" s="1034"/>
      <c r="L68" s="1034"/>
      <c r="M68" s="1034"/>
      <c r="N68" s="1034"/>
      <c r="P68" s="1034" t="str">
        <f>I68</f>
        <v>KOREKSI GREISINGER 34903053</v>
      </c>
      <c r="Q68" s="1034"/>
      <c r="R68" s="1034"/>
      <c r="S68" s="1034"/>
      <c r="T68" s="1034"/>
      <c r="U68" s="1034"/>
      <c r="W68" s="1028" t="s">
        <v>222</v>
      </c>
      <c r="X68" s="1029"/>
    </row>
    <row r="69" spans="1:24" ht="13" x14ac:dyDescent="0.25">
      <c r="A69" s="1033"/>
      <c r="B69" s="1030" t="s">
        <v>270</v>
      </c>
      <c r="C69" s="1030"/>
      <c r="D69" s="1030" t="s">
        <v>271</v>
      </c>
      <c r="E69" s="1030"/>
      <c r="F69" s="1030"/>
      <c r="G69" s="1030" t="s">
        <v>272</v>
      </c>
      <c r="I69" s="1030" t="s">
        <v>273</v>
      </c>
      <c r="J69" s="1030"/>
      <c r="K69" s="1030" t="s">
        <v>271</v>
      </c>
      <c r="L69" s="1030"/>
      <c r="M69" s="1030"/>
      <c r="N69" s="1030" t="s">
        <v>272</v>
      </c>
      <c r="P69" s="1030" t="s">
        <v>274</v>
      </c>
      <c r="Q69" s="1030"/>
      <c r="R69" s="1030" t="s">
        <v>271</v>
      </c>
      <c r="S69" s="1030"/>
      <c r="T69" s="1030"/>
      <c r="U69" s="1030" t="s">
        <v>272</v>
      </c>
      <c r="W69" s="457" t="s">
        <v>270</v>
      </c>
      <c r="X69" s="458">
        <v>0.2</v>
      </c>
    </row>
    <row r="70" spans="1:24" ht="14.5" x14ac:dyDescent="0.25">
      <c r="A70" s="1033"/>
      <c r="B70" s="1031" t="s">
        <v>275</v>
      </c>
      <c r="C70" s="1031"/>
      <c r="D70" s="438">
        <v>2021</v>
      </c>
      <c r="E70" s="438">
        <v>2018</v>
      </c>
      <c r="F70" s="438">
        <v>2016</v>
      </c>
      <c r="G70" s="1030"/>
      <c r="I70" s="1032" t="s">
        <v>276</v>
      </c>
      <c r="J70" s="1031"/>
      <c r="K70" s="438">
        <f>D70</f>
        <v>2021</v>
      </c>
      <c r="L70" s="438">
        <f>E70</f>
        <v>2018</v>
      </c>
      <c r="M70" s="438">
        <v>2016</v>
      </c>
      <c r="N70" s="1030"/>
      <c r="P70" s="1032" t="s">
        <v>277</v>
      </c>
      <c r="Q70" s="1031"/>
      <c r="R70" s="438">
        <f>K70</f>
        <v>2021</v>
      </c>
      <c r="S70" s="438">
        <f>L70</f>
        <v>2018</v>
      </c>
      <c r="T70" s="438">
        <v>2016</v>
      </c>
      <c r="U70" s="1030"/>
      <c r="W70" s="457" t="s">
        <v>276</v>
      </c>
      <c r="X70" s="458">
        <v>2.4</v>
      </c>
    </row>
    <row r="71" spans="1:24" ht="13.5" thickBot="1" x14ac:dyDescent="0.3">
      <c r="A71" s="1033"/>
      <c r="B71" s="459">
        <v>1</v>
      </c>
      <c r="C71" s="36">
        <v>15</v>
      </c>
      <c r="D71" s="36">
        <v>0.1</v>
      </c>
      <c r="E71" s="36">
        <v>0.3</v>
      </c>
      <c r="F71" s="462"/>
      <c r="G71" s="460">
        <f>0.5*(MAX(D71:F71)-MIN(D71:F71))</f>
        <v>9.9999999999999992E-2</v>
      </c>
      <c r="I71" s="459">
        <v>1</v>
      </c>
      <c r="J71" s="36">
        <v>30</v>
      </c>
      <c r="K71" s="36">
        <v>-1.9</v>
      </c>
      <c r="L71" s="36">
        <v>1.8</v>
      </c>
      <c r="M71" s="462"/>
      <c r="N71" s="460">
        <f>0.5*(MAX(K71:M71)-MIN(K71:M71))</f>
        <v>1.85</v>
      </c>
      <c r="P71" s="459">
        <v>1</v>
      </c>
      <c r="Q71" s="36">
        <v>750</v>
      </c>
      <c r="R71" s="32">
        <v>9.9999999999999995E-7</v>
      </c>
      <c r="S71" s="36">
        <v>3.2</v>
      </c>
      <c r="T71" s="462"/>
      <c r="U71" s="460">
        <f>0.5*(MAX(R71:T71)-MIN(R71:T71))</f>
        <v>1.5999995</v>
      </c>
      <c r="W71" s="463" t="s">
        <v>277</v>
      </c>
      <c r="X71" s="464">
        <v>2.4</v>
      </c>
    </row>
    <row r="72" spans="1:24" ht="13" x14ac:dyDescent="0.25">
      <c r="A72" s="1033"/>
      <c r="B72" s="459">
        <v>2</v>
      </c>
      <c r="C72" s="36">
        <v>20</v>
      </c>
      <c r="D72" s="32">
        <v>9.9999999999999995E-7</v>
      </c>
      <c r="E72" s="36">
        <v>0.1</v>
      </c>
      <c r="F72" s="462"/>
      <c r="G72" s="460">
        <f t="shared" ref="G72:G77" si="18">0.5*(MAX(D72:F72)-MIN(D72:F72))</f>
        <v>4.9999500000000002E-2</v>
      </c>
      <c r="I72" s="459">
        <v>2</v>
      </c>
      <c r="J72" s="36">
        <v>40</v>
      </c>
      <c r="K72" s="36">
        <v>-1.9</v>
      </c>
      <c r="L72" s="36">
        <v>1.2</v>
      </c>
      <c r="M72" s="462"/>
      <c r="N72" s="460">
        <f t="shared" ref="N72:N77" si="19">0.5*(MAX(K72:M72)-MIN(K72:M72))</f>
        <v>1.5499999999999998</v>
      </c>
      <c r="P72" s="459">
        <v>2</v>
      </c>
      <c r="Q72" s="36">
        <v>800</v>
      </c>
      <c r="R72" s="32">
        <v>9.9999999999999995E-7</v>
      </c>
      <c r="S72" s="36">
        <v>2.5</v>
      </c>
      <c r="T72" s="462"/>
      <c r="U72" s="460">
        <f t="shared" ref="U72:U77" si="20">0.5*(MAX(R72:T72)-MIN(R72:T72))</f>
        <v>1.2499994999999999</v>
      </c>
    </row>
    <row r="73" spans="1:24" ht="13" x14ac:dyDescent="0.25">
      <c r="A73" s="1033"/>
      <c r="B73" s="459">
        <v>3</v>
      </c>
      <c r="C73" s="36">
        <v>25</v>
      </c>
      <c r="D73" s="32">
        <v>9.9999999999999995E-7</v>
      </c>
      <c r="E73" s="36">
        <v>-0.2</v>
      </c>
      <c r="F73" s="462"/>
      <c r="G73" s="460">
        <f t="shared" si="18"/>
        <v>0.10000050000000001</v>
      </c>
      <c r="I73" s="459">
        <v>3</v>
      </c>
      <c r="J73" s="36">
        <v>50</v>
      </c>
      <c r="K73" s="36">
        <v>-1.9</v>
      </c>
      <c r="L73" s="36">
        <v>0.8</v>
      </c>
      <c r="M73" s="462"/>
      <c r="N73" s="460">
        <f t="shared" si="19"/>
        <v>1.35</v>
      </c>
      <c r="P73" s="459">
        <v>3</v>
      </c>
      <c r="Q73" s="36">
        <v>850</v>
      </c>
      <c r="R73" s="32">
        <v>9.9999999999999995E-7</v>
      </c>
      <c r="S73" s="36">
        <v>1.7</v>
      </c>
      <c r="T73" s="462"/>
      <c r="U73" s="460">
        <f t="shared" si="20"/>
        <v>0.84999950000000002</v>
      </c>
    </row>
    <row r="74" spans="1:24" ht="13" x14ac:dyDescent="0.25">
      <c r="A74" s="1033"/>
      <c r="B74" s="459">
        <v>4</v>
      </c>
      <c r="C74" s="465">
        <v>30</v>
      </c>
      <c r="D74" s="32">
        <v>9.9999999999999995E-7</v>
      </c>
      <c r="E74" s="465">
        <v>-0.6</v>
      </c>
      <c r="F74" s="462"/>
      <c r="G74" s="460">
        <f t="shared" si="18"/>
        <v>0.3000005</v>
      </c>
      <c r="I74" s="459">
        <v>4</v>
      </c>
      <c r="J74" s="465">
        <v>60</v>
      </c>
      <c r="K74" s="465">
        <v>-2.1</v>
      </c>
      <c r="L74" s="465">
        <v>0.7</v>
      </c>
      <c r="M74" s="462"/>
      <c r="N74" s="460">
        <f t="shared" si="19"/>
        <v>1.4</v>
      </c>
      <c r="P74" s="459">
        <v>4</v>
      </c>
      <c r="Q74" s="465">
        <v>900</v>
      </c>
      <c r="R74" s="32">
        <v>9.9999999999999995E-7</v>
      </c>
      <c r="S74" s="465">
        <v>1</v>
      </c>
      <c r="T74" s="462"/>
      <c r="U74" s="460">
        <f t="shared" si="20"/>
        <v>0.49999949999999999</v>
      </c>
    </row>
    <row r="75" spans="1:24" ht="13" x14ac:dyDescent="0.25">
      <c r="A75" s="1033"/>
      <c r="B75" s="459">
        <v>5</v>
      </c>
      <c r="C75" s="465">
        <v>35</v>
      </c>
      <c r="D75" s="32">
        <v>9.9999999999999995E-7</v>
      </c>
      <c r="E75" s="465">
        <v>-1.1000000000000001</v>
      </c>
      <c r="F75" s="462"/>
      <c r="G75" s="460">
        <f t="shared" si="18"/>
        <v>0.5500005</v>
      </c>
      <c r="I75" s="459">
        <v>5</v>
      </c>
      <c r="J75" s="465">
        <v>70</v>
      </c>
      <c r="K75" s="465">
        <v>-2.2999999999999998</v>
      </c>
      <c r="L75" s="465">
        <v>0.9</v>
      </c>
      <c r="M75" s="462"/>
      <c r="N75" s="460">
        <f t="shared" si="19"/>
        <v>1.5999999999999999</v>
      </c>
      <c r="P75" s="459">
        <v>5</v>
      </c>
      <c r="Q75" s="465">
        <v>1000</v>
      </c>
      <c r="R75" s="465">
        <v>-3.9</v>
      </c>
      <c r="S75" s="465">
        <v>-0.4</v>
      </c>
      <c r="T75" s="462"/>
      <c r="U75" s="460">
        <f t="shared" si="20"/>
        <v>1.75</v>
      </c>
    </row>
    <row r="76" spans="1:24" ht="13" x14ac:dyDescent="0.25">
      <c r="A76" s="1033"/>
      <c r="B76" s="459">
        <v>6</v>
      </c>
      <c r="C76" s="465">
        <v>37</v>
      </c>
      <c r="D76" s="32">
        <v>9.9999999999999995E-7</v>
      </c>
      <c r="E76" s="465">
        <v>-1.4</v>
      </c>
      <c r="F76" s="462"/>
      <c r="G76" s="460">
        <f t="shared" si="18"/>
        <v>0.70000049999999991</v>
      </c>
      <c r="I76" s="459">
        <v>6</v>
      </c>
      <c r="J76" s="465">
        <v>80</v>
      </c>
      <c r="K76" s="465">
        <v>-2.6</v>
      </c>
      <c r="L76" s="465">
        <v>1.2</v>
      </c>
      <c r="M76" s="462"/>
      <c r="N76" s="460">
        <f t="shared" si="19"/>
        <v>1.9</v>
      </c>
      <c r="P76" s="459">
        <v>6</v>
      </c>
      <c r="Q76" s="465">
        <v>1005</v>
      </c>
      <c r="R76" s="465">
        <v>-3.8</v>
      </c>
      <c r="S76" s="465">
        <v>-0.5</v>
      </c>
      <c r="T76" s="462"/>
      <c r="U76" s="460">
        <f t="shared" si="20"/>
        <v>1.65</v>
      </c>
    </row>
    <row r="77" spans="1:24" ht="13.5" thickBot="1" x14ac:dyDescent="0.3">
      <c r="A77" s="1033"/>
      <c r="B77" s="459">
        <v>7</v>
      </c>
      <c r="C77" s="465">
        <v>40</v>
      </c>
      <c r="D77" s="465">
        <v>0.1</v>
      </c>
      <c r="E77" s="465">
        <v>-1.7</v>
      </c>
      <c r="F77" s="462"/>
      <c r="G77" s="460">
        <f t="shared" si="18"/>
        <v>0.9</v>
      </c>
      <c r="I77" s="459">
        <v>7</v>
      </c>
      <c r="J77" s="465">
        <v>90</v>
      </c>
      <c r="K77" s="465">
        <v>-3</v>
      </c>
      <c r="L77" s="465">
        <v>1.8</v>
      </c>
      <c r="M77" s="462"/>
      <c r="N77" s="460">
        <f t="shared" si="19"/>
        <v>2.4</v>
      </c>
      <c r="P77" s="459">
        <v>7</v>
      </c>
      <c r="Q77" s="465">
        <v>1020</v>
      </c>
      <c r="R77" s="465">
        <v>-3.8</v>
      </c>
      <c r="S77" s="32">
        <v>9.9999999999999995E-7</v>
      </c>
      <c r="T77" s="462"/>
      <c r="U77" s="460">
        <f t="shared" si="20"/>
        <v>1.9000005</v>
      </c>
    </row>
    <row r="78" spans="1:24" ht="13.5" thickBot="1" x14ac:dyDescent="0.35">
      <c r="A78" s="46"/>
      <c r="B78" s="310"/>
      <c r="C78" s="310"/>
      <c r="D78" s="310"/>
      <c r="E78" s="470"/>
      <c r="F78" s="41"/>
      <c r="G78" s="435"/>
      <c r="H78" s="310"/>
      <c r="I78" s="310"/>
      <c r="J78" s="310"/>
      <c r="K78" s="470"/>
      <c r="L78" s="41"/>
      <c r="O78" s="468"/>
      <c r="P78" s="441"/>
    </row>
    <row r="79" spans="1:24" x14ac:dyDescent="0.25">
      <c r="A79" s="1033">
        <v>8</v>
      </c>
      <c r="B79" s="1034" t="s">
        <v>284</v>
      </c>
      <c r="C79" s="1034"/>
      <c r="D79" s="1034"/>
      <c r="E79" s="1034"/>
      <c r="F79" s="1034"/>
      <c r="G79" s="1034"/>
      <c r="I79" s="1034" t="str">
        <f>B79</f>
        <v>KOREKSI GREISINGER 34903051</v>
      </c>
      <c r="J79" s="1034"/>
      <c r="K79" s="1034"/>
      <c r="L79" s="1034"/>
      <c r="M79" s="1034"/>
      <c r="N79" s="1034"/>
      <c r="P79" s="1034" t="str">
        <f>I79</f>
        <v>KOREKSI GREISINGER 34903051</v>
      </c>
      <c r="Q79" s="1034"/>
      <c r="R79" s="1034"/>
      <c r="S79" s="1034"/>
      <c r="T79" s="1034"/>
      <c r="U79" s="1034"/>
      <c r="W79" s="1028" t="s">
        <v>222</v>
      </c>
      <c r="X79" s="1029"/>
    </row>
    <row r="80" spans="1:24" ht="13" x14ac:dyDescent="0.25">
      <c r="A80" s="1033"/>
      <c r="B80" s="1030" t="s">
        <v>270</v>
      </c>
      <c r="C80" s="1030"/>
      <c r="D80" s="1030" t="s">
        <v>271</v>
      </c>
      <c r="E80" s="1030"/>
      <c r="F80" s="1030"/>
      <c r="G80" s="1030" t="s">
        <v>272</v>
      </c>
      <c r="I80" s="1030" t="s">
        <v>273</v>
      </c>
      <c r="J80" s="1030"/>
      <c r="K80" s="1030" t="s">
        <v>271</v>
      </c>
      <c r="L80" s="1030"/>
      <c r="M80" s="1030"/>
      <c r="N80" s="1030" t="s">
        <v>272</v>
      </c>
      <c r="P80" s="1030" t="s">
        <v>274</v>
      </c>
      <c r="Q80" s="1030"/>
      <c r="R80" s="1030" t="s">
        <v>271</v>
      </c>
      <c r="S80" s="1030"/>
      <c r="T80" s="1030"/>
      <c r="U80" s="1030" t="s">
        <v>272</v>
      </c>
      <c r="W80" s="457" t="s">
        <v>270</v>
      </c>
      <c r="X80" s="458">
        <v>0.3</v>
      </c>
    </row>
    <row r="81" spans="1:24" ht="14.5" x14ac:dyDescent="0.25">
      <c r="A81" s="1033"/>
      <c r="B81" s="1031" t="s">
        <v>275</v>
      </c>
      <c r="C81" s="1031"/>
      <c r="D81" s="438">
        <v>2021</v>
      </c>
      <c r="E81" s="438">
        <v>2019</v>
      </c>
      <c r="F81" s="438">
        <v>2016</v>
      </c>
      <c r="G81" s="1030"/>
      <c r="I81" s="1032" t="s">
        <v>276</v>
      </c>
      <c r="J81" s="1031"/>
      <c r="K81" s="438">
        <f>D81</f>
        <v>2021</v>
      </c>
      <c r="L81" s="438">
        <f>E81</f>
        <v>2019</v>
      </c>
      <c r="M81" s="438">
        <v>2016</v>
      </c>
      <c r="N81" s="1030"/>
      <c r="P81" s="1032" t="s">
        <v>277</v>
      </c>
      <c r="Q81" s="1031"/>
      <c r="R81" s="438">
        <f>K81</f>
        <v>2021</v>
      </c>
      <c r="S81" s="438">
        <f>L81</f>
        <v>2019</v>
      </c>
      <c r="T81" s="438">
        <v>2016</v>
      </c>
      <c r="U81" s="1030"/>
      <c r="W81" s="457" t="s">
        <v>276</v>
      </c>
      <c r="X81" s="458">
        <v>2.5</v>
      </c>
    </row>
    <row r="82" spans="1:24" ht="13.5" thickBot="1" x14ac:dyDescent="0.3">
      <c r="A82" s="1033"/>
      <c r="B82" s="459">
        <v>1</v>
      </c>
      <c r="C82" s="36">
        <v>15</v>
      </c>
      <c r="D82" s="36">
        <v>0.1</v>
      </c>
      <c r="E82" s="32">
        <v>9.9999999999999995E-7</v>
      </c>
      <c r="F82" s="462"/>
      <c r="G82" s="460">
        <f>0.5*(MAX(D82:F82)-MIN(D82:F82))</f>
        <v>4.9999500000000002E-2</v>
      </c>
      <c r="I82" s="459">
        <v>1</v>
      </c>
      <c r="J82" s="36">
        <v>30</v>
      </c>
      <c r="K82" s="36">
        <v>-4</v>
      </c>
      <c r="L82" s="36">
        <v>-1.4</v>
      </c>
      <c r="M82" s="462"/>
      <c r="N82" s="460">
        <f>0.5*(MAX(K82:M82)-MIN(K82:M82))</f>
        <v>1.3</v>
      </c>
      <c r="P82" s="459">
        <v>1</v>
      </c>
      <c r="Q82" s="36">
        <v>750</v>
      </c>
      <c r="R82" s="32">
        <v>9.9999999999999995E-7</v>
      </c>
      <c r="S82" s="32">
        <v>9.9999999999999995E-7</v>
      </c>
      <c r="T82" s="462"/>
      <c r="U82" s="460">
        <f>0.5*(MAX(R82:T82)-MIN(R82:T82))</f>
        <v>0</v>
      </c>
      <c r="W82" s="463" t="s">
        <v>277</v>
      </c>
      <c r="X82" s="464">
        <v>2.1</v>
      </c>
    </row>
    <row r="83" spans="1:24" ht="13" x14ac:dyDescent="0.25">
      <c r="A83" s="1033"/>
      <c r="B83" s="459">
        <v>2</v>
      </c>
      <c r="C83" s="36">
        <v>20</v>
      </c>
      <c r="D83" s="32">
        <v>9.9999999999999995E-7</v>
      </c>
      <c r="E83" s="36">
        <v>-0.2</v>
      </c>
      <c r="F83" s="462"/>
      <c r="G83" s="460">
        <f t="shared" ref="G83:G88" si="21">0.5*(MAX(D83:F83)-MIN(D83:F83))</f>
        <v>0.10000050000000001</v>
      </c>
      <c r="I83" s="459">
        <v>2</v>
      </c>
      <c r="J83" s="36">
        <v>40</v>
      </c>
      <c r="K83" s="36">
        <v>-3.8</v>
      </c>
      <c r="L83" s="36">
        <v>-1.2</v>
      </c>
      <c r="M83" s="462"/>
      <c r="N83" s="460">
        <f t="shared" ref="N83:N88" si="22">0.5*(MAX(K83:M83)-MIN(K83:M83))</f>
        <v>1.2999999999999998</v>
      </c>
      <c r="P83" s="459">
        <v>2</v>
      </c>
      <c r="Q83" s="36">
        <v>800</v>
      </c>
      <c r="R83" s="32">
        <v>9.9999999999999995E-7</v>
      </c>
      <c r="S83" s="32">
        <v>9.9999999999999995E-7</v>
      </c>
      <c r="T83" s="462"/>
      <c r="U83" s="460">
        <f t="shared" ref="U83:U88" si="23">0.5*(MAX(R83:T83)-MIN(R83:T83))</f>
        <v>0</v>
      </c>
    </row>
    <row r="84" spans="1:24" ht="13" x14ac:dyDescent="0.25">
      <c r="A84" s="1033"/>
      <c r="B84" s="459">
        <v>3</v>
      </c>
      <c r="C84" s="36">
        <v>25</v>
      </c>
      <c r="D84" s="36">
        <v>-0.1</v>
      </c>
      <c r="E84" s="36">
        <v>-0.4</v>
      </c>
      <c r="F84" s="462"/>
      <c r="G84" s="460">
        <f t="shared" si="21"/>
        <v>0.15000000000000002</v>
      </c>
      <c r="I84" s="459">
        <v>3</v>
      </c>
      <c r="J84" s="36">
        <v>50</v>
      </c>
      <c r="K84" s="36">
        <v>-3.8</v>
      </c>
      <c r="L84" s="36">
        <v>-1.2</v>
      </c>
      <c r="M84" s="462"/>
      <c r="N84" s="460">
        <f t="shared" si="22"/>
        <v>1.2999999999999998</v>
      </c>
      <c r="P84" s="459">
        <v>3</v>
      </c>
      <c r="Q84" s="36">
        <v>850</v>
      </c>
      <c r="R84" s="32">
        <v>9.9999999999999995E-7</v>
      </c>
      <c r="S84" s="32">
        <v>9.9999999999999995E-7</v>
      </c>
      <c r="T84" s="462"/>
      <c r="U84" s="460">
        <f t="shared" si="23"/>
        <v>0</v>
      </c>
    </row>
    <row r="85" spans="1:24" ht="13" x14ac:dyDescent="0.25">
      <c r="A85" s="1033"/>
      <c r="B85" s="459">
        <v>4</v>
      </c>
      <c r="C85" s="465">
        <v>30</v>
      </c>
      <c r="D85" s="36">
        <v>-0.2</v>
      </c>
      <c r="E85" s="36">
        <v>-0.4</v>
      </c>
      <c r="F85" s="462"/>
      <c r="G85" s="460">
        <f t="shared" si="21"/>
        <v>0.1</v>
      </c>
      <c r="I85" s="459">
        <v>4</v>
      </c>
      <c r="J85" s="465">
        <v>60</v>
      </c>
      <c r="K85" s="465">
        <v>-3.9</v>
      </c>
      <c r="L85" s="465">
        <v>-1.1000000000000001</v>
      </c>
      <c r="M85" s="462"/>
      <c r="N85" s="460">
        <f t="shared" si="22"/>
        <v>1.4</v>
      </c>
      <c r="P85" s="459">
        <v>4</v>
      </c>
      <c r="Q85" s="465">
        <v>900</v>
      </c>
      <c r="R85" s="466">
        <v>-4.4000000000000004</v>
      </c>
      <c r="S85" s="32">
        <v>9.9999999999999995E-7</v>
      </c>
      <c r="T85" s="462"/>
      <c r="U85" s="460">
        <f t="shared" si="23"/>
        <v>2.2000005000000002</v>
      </c>
    </row>
    <row r="86" spans="1:24" ht="13" x14ac:dyDescent="0.25">
      <c r="A86" s="1033"/>
      <c r="B86" s="459">
        <v>5</v>
      </c>
      <c r="C86" s="465">
        <v>35</v>
      </c>
      <c r="D86" s="465">
        <v>-0.1</v>
      </c>
      <c r="E86" s="465">
        <v>-0.5</v>
      </c>
      <c r="F86" s="462"/>
      <c r="G86" s="460">
        <f t="shared" si="21"/>
        <v>0.2</v>
      </c>
      <c r="I86" s="459">
        <v>5</v>
      </c>
      <c r="J86" s="465">
        <v>70</v>
      </c>
      <c r="K86" s="465">
        <v>-4.0999999999999996</v>
      </c>
      <c r="L86" s="465">
        <v>-1.2</v>
      </c>
      <c r="M86" s="462"/>
      <c r="N86" s="460">
        <f t="shared" si="22"/>
        <v>1.4499999999999997</v>
      </c>
      <c r="P86" s="459">
        <v>5</v>
      </c>
      <c r="Q86" s="465">
        <v>1000</v>
      </c>
      <c r="R86" s="466">
        <v>-3.5</v>
      </c>
      <c r="S86" s="466">
        <v>0.2</v>
      </c>
      <c r="T86" s="462"/>
      <c r="U86" s="460">
        <f t="shared" si="23"/>
        <v>1.85</v>
      </c>
    </row>
    <row r="87" spans="1:24" ht="13" x14ac:dyDescent="0.25">
      <c r="A87" s="1033"/>
      <c r="B87" s="459">
        <v>6</v>
      </c>
      <c r="C87" s="465">
        <v>37</v>
      </c>
      <c r="D87" s="465">
        <v>-0.1</v>
      </c>
      <c r="E87" s="465">
        <v>-0.5</v>
      </c>
      <c r="F87" s="462"/>
      <c r="G87" s="460">
        <f t="shared" si="21"/>
        <v>0.2</v>
      </c>
      <c r="I87" s="459">
        <v>6</v>
      </c>
      <c r="J87" s="465">
        <v>80</v>
      </c>
      <c r="K87" s="465">
        <v>-4.5</v>
      </c>
      <c r="L87" s="465">
        <v>-1.2</v>
      </c>
      <c r="M87" s="462"/>
      <c r="N87" s="460">
        <f t="shared" si="22"/>
        <v>1.65</v>
      </c>
      <c r="P87" s="459">
        <v>6</v>
      </c>
      <c r="Q87" s="465">
        <v>1005</v>
      </c>
      <c r="R87" s="466">
        <v>-3.4</v>
      </c>
      <c r="S87" s="466">
        <v>0.2</v>
      </c>
      <c r="T87" s="462"/>
      <c r="U87" s="460">
        <f t="shared" si="23"/>
        <v>1.8</v>
      </c>
    </row>
    <row r="88" spans="1:24" ht="13" x14ac:dyDescent="0.25">
      <c r="A88" s="1033"/>
      <c r="B88" s="459">
        <v>7</v>
      </c>
      <c r="C88" s="465">
        <v>40</v>
      </c>
      <c r="D88" s="32">
        <v>9.9999999999999995E-7</v>
      </c>
      <c r="E88" s="465">
        <v>-0.4</v>
      </c>
      <c r="F88" s="462"/>
      <c r="G88" s="460">
        <f t="shared" si="21"/>
        <v>0.2000005</v>
      </c>
      <c r="I88" s="459">
        <v>7</v>
      </c>
      <c r="J88" s="465">
        <v>90</v>
      </c>
      <c r="K88" s="465">
        <v>-4.9000000000000004</v>
      </c>
      <c r="L88" s="465">
        <v>-1.3</v>
      </c>
      <c r="M88" s="462"/>
      <c r="N88" s="460">
        <f t="shared" si="22"/>
        <v>1.8000000000000003</v>
      </c>
      <c r="P88" s="459">
        <v>7</v>
      </c>
      <c r="Q88" s="465">
        <v>1020</v>
      </c>
      <c r="R88" s="466">
        <v>-3.4</v>
      </c>
      <c r="S88" s="32">
        <v>9.9999999999999995E-7</v>
      </c>
      <c r="T88" s="462"/>
      <c r="U88" s="460">
        <f t="shared" si="23"/>
        <v>1.7000005</v>
      </c>
    </row>
    <row r="89" spans="1:24" ht="13.5" thickBot="1" x14ac:dyDescent="0.35">
      <c r="A89" s="46"/>
      <c r="B89" s="310"/>
      <c r="C89" s="310"/>
      <c r="D89" s="310"/>
      <c r="E89" s="470"/>
      <c r="G89" s="41"/>
      <c r="I89" s="310"/>
      <c r="J89" s="310"/>
      <c r="K89" s="310"/>
      <c r="L89" s="470"/>
      <c r="N89" s="41"/>
      <c r="R89" s="441"/>
    </row>
    <row r="90" spans="1:24" x14ac:dyDescent="0.25">
      <c r="A90" s="1033">
        <v>9</v>
      </c>
      <c r="B90" s="1034" t="s">
        <v>285</v>
      </c>
      <c r="C90" s="1034"/>
      <c r="D90" s="1034"/>
      <c r="E90" s="1034"/>
      <c r="F90" s="1034"/>
      <c r="G90" s="1034"/>
      <c r="I90" s="1034" t="str">
        <f>B90</f>
        <v>KOREKSI GREISINGER 34904091</v>
      </c>
      <c r="J90" s="1034"/>
      <c r="K90" s="1034"/>
      <c r="L90" s="1034"/>
      <c r="M90" s="1034"/>
      <c r="N90" s="1034"/>
      <c r="P90" s="1034" t="str">
        <f>I90</f>
        <v>KOREKSI GREISINGER 34904091</v>
      </c>
      <c r="Q90" s="1034"/>
      <c r="R90" s="1034"/>
      <c r="S90" s="1034"/>
      <c r="T90" s="1034"/>
      <c r="U90" s="1034"/>
      <c r="W90" s="1028" t="s">
        <v>222</v>
      </c>
      <c r="X90" s="1029"/>
    </row>
    <row r="91" spans="1:24" ht="13" x14ac:dyDescent="0.25">
      <c r="A91" s="1033"/>
      <c r="B91" s="1030" t="s">
        <v>270</v>
      </c>
      <c r="C91" s="1030"/>
      <c r="D91" s="1030" t="s">
        <v>271</v>
      </c>
      <c r="E91" s="1030"/>
      <c r="F91" s="1030"/>
      <c r="G91" s="1030" t="s">
        <v>272</v>
      </c>
      <c r="I91" s="1030" t="s">
        <v>273</v>
      </c>
      <c r="J91" s="1030"/>
      <c r="K91" s="1030" t="s">
        <v>271</v>
      </c>
      <c r="L91" s="1030"/>
      <c r="M91" s="1030"/>
      <c r="N91" s="1030" t="s">
        <v>272</v>
      </c>
      <c r="P91" s="1030" t="s">
        <v>274</v>
      </c>
      <c r="Q91" s="1030"/>
      <c r="R91" s="1030" t="s">
        <v>271</v>
      </c>
      <c r="S91" s="1030"/>
      <c r="T91" s="1030"/>
      <c r="U91" s="1030" t="s">
        <v>272</v>
      </c>
      <c r="W91" s="457" t="s">
        <v>270</v>
      </c>
      <c r="X91" s="458">
        <v>0.3</v>
      </c>
    </row>
    <row r="92" spans="1:24" ht="14.5" x14ac:dyDescent="0.25">
      <c r="A92" s="1033"/>
      <c r="B92" s="1031" t="s">
        <v>275</v>
      </c>
      <c r="C92" s="1031"/>
      <c r="D92" s="438">
        <v>2019</v>
      </c>
      <c r="E92" s="440" t="s">
        <v>243</v>
      </c>
      <c r="F92" s="438">
        <v>2016</v>
      </c>
      <c r="G92" s="1030"/>
      <c r="I92" s="1032" t="s">
        <v>276</v>
      </c>
      <c r="J92" s="1031"/>
      <c r="K92" s="471">
        <f>D92</f>
        <v>2019</v>
      </c>
      <c r="L92" s="471" t="str">
        <f>E92</f>
        <v>-</v>
      </c>
      <c r="M92" s="438">
        <v>2016</v>
      </c>
      <c r="N92" s="1030"/>
      <c r="P92" s="1032" t="s">
        <v>277</v>
      </c>
      <c r="Q92" s="1031"/>
      <c r="R92" s="471">
        <f>K92</f>
        <v>2019</v>
      </c>
      <c r="S92" s="471" t="str">
        <f>L92</f>
        <v>-</v>
      </c>
      <c r="T92" s="438">
        <v>2016</v>
      </c>
      <c r="U92" s="1030"/>
      <c r="W92" s="457" t="s">
        <v>276</v>
      </c>
      <c r="X92" s="458">
        <v>2.4</v>
      </c>
    </row>
    <row r="93" spans="1:24" ht="13.5" thickBot="1" x14ac:dyDescent="0.3">
      <c r="A93" s="1033"/>
      <c r="B93" s="459">
        <v>1</v>
      </c>
      <c r="C93" s="36">
        <v>15</v>
      </c>
      <c r="D93" s="32">
        <v>9.9999999999999995E-7</v>
      </c>
      <c r="E93" s="32" t="s">
        <v>243</v>
      </c>
      <c r="F93" s="462"/>
      <c r="G93" s="460">
        <f>0.5*(MAX(D93:F93)-MIN(D93:F93))</f>
        <v>0</v>
      </c>
      <c r="I93" s="459">
        <v>1</v>
      </c>
      <c r="J93" s="36">
        <v>30</v>
      </c>
      <c r="K93" s="32">
        <v>-1.2</v>
      </c>
      <c r="L93" s="32" t="s">
        <v>243</v>
      </c>
      <c r="M93" s="462"/>
      <c r="N93" s="460">
        <f>0.5*(MAX(K93:M93)-MIN(K93:M93))</f>
        <v>0</v>
      </c>
      <c r="P93" s="459">
        <v>1</v>
      </c>
      <c r="Q93" s="36">
        <v>750</v>
      </c>
      <c r="R93" s="32">
        <v>9.9999999999999995E-7</v>
      </c>
      <c r="S93" s="31" t="s">
        <v>243</v>
      </c>
      <c r="T93" s="462"/>
      <c r="U93" s="460">
        <f>0.5*(MAX(R93:T93)-MIN(R93:T93))</f>
        <v>0</v>
      </c>
      <c r="W93" s="463" t="s">
        <v>277</v>
      </c>
      <c r="X93" s="464">
        <v>2.2000000000000002</v>
      </c>
    </row>
    <row r="94" spans="1:24" ht="13" x14ac:dyDescent="0.25">
      <c r="A94" s="1033"/>
      <c r="B94" s="459">
        <v>2</v>
      </c>
      <c r="C94" s="36">
        <v>20</v>
      </c>
      <c r="D94" s="32">
        <v>-0.2</v>
      </c>
      <c r="E94" s="32" t="s">
        <v>243</v>
      </c>
      <c r="F94" s="462"/>
      <c r="G94" s="460">
        <f t="shared" ref="G94:G99" si="24">0.5*(MAX(D94:F94)-MIN(D94:F94))</f>
        <v>0</v>
      </c>
      <c r="I94" s="459">
        <v>2</v>
      </c>
      <c r="J94" s="36">
        <v>40</v>
      </c>
      <c r="K94" s="32">
        <v>-1</v>
      </c>
      <c r="L94" s="32" t="s">
        <v>243</v>
      </c>
      <c r="M94" s="462"/>
      <c r="N94" s="460">
        <f t="shared" ref="N94:N99" si="25">0.5*(MAX(K94:M94)-MIN(K94:M94))</f>
        <v>0</v>
      </c>
      <c r="P94" s="459">
        <v>2</v>
      </c>
      <c r="Q94" s="36">
        <v>800</v>
      </c>
      <c r="R94" s="32">
        <v>9.9999999999999995E-7</v>
      </c>
      <c r="S94" s="31" t="s">
        <v>243</v>
      </c>
      <c r="T94" s="462"/>
      <c r="U94" s="460">
        <f t="shared" ref="U94:U99" si="26">0.5*(MAX(R94:T94)-MIN(R94:T94))</f>
        <v>0</v>
      </c>
    </row>
    <row r="95" spans="1:24" ht="13" x14ac:dyDescent="0.25">
      <c r="A95" s="1033"/>
      <c r="B95" s="459">
        <v>3</v>
      </c>
      <c r="C95" s="36">
        <v>25</v>
      </c>
      <c r="D95" s="32">
        <v>-0.4</v>
      </c>
      <c r="E95" s="32" t="s">
        <v>243</v>
      </c>
      <c r="F95" s="462"/>
      <c r="G95" s="460">
        <f t="shared" si="24"/>
        <v>0</v>
      </c>
      <c r="I95" s="459">
        <v>3</v>
      </c>
      <c r="J95" s="36">
        <v>50</v>
      </c>
      <c r="K95" s="32">
        <v>-0.9</v>
      </c>
      <c r="L95" s="32" t="s">
        <v>243</v>
      </c>
      <c r="M95" s="462"/>
      <c r="N95" s="460">
        <f t="shared" si="25"/>
        <v>0</v>
      </c>
      <c r="P95" s="459">
        <v>3</v>
      </c>
      <c r="Q95" s="36">
        <v>850</v>
      </c>
      <c r="R95" s="32">
        <v>9.9999999999999995E-7</v>
      </c>
      <c r="S95" s="31" t="s">
        <v>243</v>
      </c>
      <c r="T95" s="462"/>
      <c r="U95" s="460">
        <f t="shared" si="26"/>
        <v>0</v>
      </c>
    </row>
    <row r="96" spans="1:24" ht="13" x14ac:dyDescent="0.25">
      <c r="A96" s="1033"/>
      <c r="B96" s="459">
        <v>4</v>
      </c>
      <c r="C96" s="465">
        <v>30</v>
      </c>
      <c r="D96" s="32">
        <v>-0.5</v>
      </c>
      <c r="E96" s="466" t="s">
        <v>243</v>
      </c>
      <c r="F96" s="462"/>
      <c r="G96" s="460">
        <f t="shared" si="24"/>
        <v>0</v>
      </c>
      <c r="I96" s="459">
        <v>4</v>
      </c>
      <c r="J96" s="465">
        <v>60</v>
      </c>
      <c r="K96" s="32">
        <v>-0.8</v>
      </c>
      <c r="L96" s="466" t="s">
        <v>243</v>
      </c>
      <c r="M96" s="462"/>
      <c r="N96" s="460">
        <f t="shared" si="25"/>
        <v>0</v>
      </c>
      <c r="P96" s="459">
        <v>4</v>
      </c>
      <c r="Q96" s="465">
        <v>900</v>
      </c>
      <c r="R96" s="32">
        <v>9.9999999999999995E-7</v>
      </c>
      <c r="S96" s="466" t="s">
        <v>243</v>
      </c>
      <c r="T96" s="462"/>
      <c r="U96" s="460">
        <f t="shared" si="26"/>
        <v>0</v>
      </c>
    </row>
    <row r="97" spans="1:28" ht="13" x14ac:dyDescent="0.25">
      <c r="A97" s="1033"/>
      <c r="B97" s="459">
        <v>5</v>
      </c>
      <c r="C97" s="465">
        <v>35</v>
      </c>
      <c r="D97" s="32">
        <v>-0.5</v>
      </c>
      <c r="E97" s="466" t="s">
        <v>243</v>
      </c>
      <c r="F97" s="462"/>
      <c r="G97" s="460">
        <f t="shared" si="24"/>
        <v>0</v>
      </c>
      <c r="I97" s="459">
        <v>5</v>
      </c>
      <c r="J97" s="465">
        <v>70</v>
      </c>
      <c r="K97" s="32">
        <v>-0.6</v>
      </c>
      <c r="L97" s="466" t="s">
        <v>243</v>
      </c>
      <c r="M97" s="462"/>
      <c r="N97" s="460">
        <f t="shared" si="25"/>
        <v>0</v>
      </c>
      <c r="P97" s="459">
        <v>5</v>
      </c>
      <c r="Q97" s="465">
        <v>1000</v>
      </c>
      <c r="R97" s="466">
        <v>0.2</v>
      </c>
      <c r="S97" s="466" t="s">
        <v>243</v>
      </c>
      <c r="T97" s="462"/>
      <c r="U97" s="460">
        <f t="shared" si="26"/>
        <v>0</v>
      </c>
    </row>
    <row r="98" spans="1:28" ht="13" x14ac:dyDescent="0.25">
      <c r="A98" s="1033"/>
      <c r="B98" s="459">
        <v>6</v>
      </c>
      <c r="C98" s="465">
        <v>37</v>
      </c>
      <c r="D98" s="32">
        <v>-0.5</v>
      </c>
      <c r="E98" s="466" t="s">
        <v>243</v>
      </c>
      <c r="F98" s="462"/>
      <c r="G98" s="460">
        <f t="shared" si="24"/>
        <v>0</v>
      </c>
      <c r="I98" s="459">
        <v>6</v>
      </c>
      <c r="J98" s="465">
        <v>80</v>
      </c>
      <c r="K98" s="32">
        <v>-0.5</v>
      </c>
      <c r="L98" s="466" t="s">
        <v>243</v>
      </c>
      <c r="M98" s="462"/>
      <c r="N98" s="460">
        <f t="shared" si="25"/>
        <v>0</v>
      </c>
      <c r="P98" s="459">
        <v>6</v>
      </c>
      <c r="Q98" s="465">
        <v>1005</v>
      </c>
      <c r="R98" s="466">
        <v>0.2</v>
      </c>
      <c r="S98" s="466" t="s">
        <v>243</v>
      </c>
      <c r="T98" s="462"/>
      <c r="U98" s="460">
        <f t="shared" si="26"/>
        <v>0</v>
      </c>
    </row>
    <row r="99" spans="1:28" ht="13" x14ac:dyDescent="0.25">
      <c r="A99" s="1033"/>
      <c r="B99" s="459">
        <v>7</v>
      </c>
      <c r="C99" s="465">
        <v>40</v>
      </c>
      <c r="D99" s="32">
        <v>-0.4</v>
      </c>
      <c r="E99" s="466" t="s">
        <v>243</v>
      </c>
      <c r="F99" s="462"/>
      <c r="G99" s="460">
        <f t="shared" si="24"/>
        <v>0</v>
      </c>
      <c r="I99" s="459">
        <v>7</v>
      </c>
      <c r="J99" s="465">
        <v>90</v>
      </c>
      <c r="K99" s="32">
        <v>-0.2</v>
      </c>
      <c r="L99" s="466" t="s">
        <v>243</v>
      </c>
      <c r="M99" s="462"/>
      <c r="N99" s="460">
        <f t="shared" si="25"/>
        <v>0</v>
      </c>
      <c r="P99" s="459">
        <v>7</v>
      </c>
      <c r="Q99" s="465">
        <v>1020</v>
      </c>
      <c r="R99" s="32">
        <v>9.9999999999999995E-7</v>
      </c>
      <c r="S99" s="466" t="s">
        <v>243</v>
      </c>
      <c r="T99" s="462"/>
      <c r="U99" s="460">
        <f t="shared" si="26"/>
        <v>0</v>
      </c>
    </row>
    <row r="100" spans="1:28" ht="13.5" thickBot="1" x14ac:dyDescent="0.35">
      <c r="A100" s="46"/>
      <c r="B100" s="310"/>
      <c r="C100" s="310"/>
      <c r="D100" s="310"/>
      <c r="E100" s="470"/>
      <c r="G100" s="41"/>
      <c r="I100" s="310"/>
      <c r="J100" s="310"/>
      <c r="K100" s="310"/>
      <c r="L100" s="470"/>
      <c r="N100" s="41"/>
      <c r="R100" s="441"/>
      <c r="AB100" s="435"/>
    </row>
    <row r="101" spans="1:28" x14ac:dyDescent="0.25">
      <c r="A101" s="1033">
        <v>10</v>
      </c>
      <c r="B101" s="1034" t="s">
        <v>286</v>
      </c>
      <c r="C101" s="1034"/>
      <c r="D101" s="1034"/>
      <c r="E101" s="1034"/>
      <c r="F101" s="1034"/>
      <c r="G101" s="1034"/>
      <c r="I101" s="1034" t="str">
        <f>B101</f>
        <v>KOREKSI Sekonic HE-21.000669</v>
      </c>
      <c r="J101" s="1034"/>
      <c r="K101" s="1034"/>
      <c r="L101" s="1034"/>
      <c r="M101" s="1034"/>
      <c r="N101" s="1034"/>
      <c r="P101" s="1034" t="str">
        <f>I101</f>
        <v>KOREKSI Sekonic HE-21.000669</v>
      </c>
      <c r="Q101" s="1034"/>
      <c r="R101" s="1034"/>
      <c r="S101" s="1034"/>
      <c r="T101" s="1034"/>
      <c r="U101" s="1034"/>
      <c r="W101" s="1028" t="s">
        <v>222</v>
      </c>
      <c r="X101" s="1029"/>
    </row>
    <row r="102" spans="1:28" ht="13" x14ac:dyDescent="0.25">
      <c r="A102" s="1033"/>
      <c r="B102" s="1030" t="s">
        <v>270</v>
      </c>
      <c r="C102" s="1030"/>
      <c r="D102" s="1030" t="s">
        <v>271</v>
      </c>
      <c r="E102" s="1030"/>
      <c r="F102" s="1030"/>
      <c r="G102" s="1030" t="s">
        <v>272</v>
      </c>
      <c r="I102" s="1030" t="s">
        <v>273</v>
      </c>
      <c r="J102" s="1030"/>
      <c r="K102" s="1030" t="s">
        <v>271</v>
      </c>
      <c r="L102" s="1030"/>
      <c r="M102" s="1030"/>
      <c r="N102" s="1030" t="s">
        <v>272</v>
      </c>
      <c r="P102" s="1030" t="s">
        <v>274</v>
      </c>
      <c r="Q102" s="1030"/>
      <c r="R102" s="1030" t="s">
        <v>271</v>
      </c>
      <c r="S102" s="1030"/>
      <c r="T102" s="1030"/>
      <c r="U102" s="1030" t="s">
        <v>272</v>
      </c>
      <c r="W102" s="457" t="s">
        <v>270</v>
      </c>
      <c r="X102" s="458">
        <v>0.3</v>
      </c>
    </row>
    <row r="103" spans="1:28" ht="14.5" x14ac:dyDescent="0.25">
      <c r="A103" s="1033"/>
      <c r="B103" s="1031" t="s">
        <v>275</v>
      </c>
      <c r="C103" s="1031"/>
      <c r="D103" s="438">
        <v>2019</v>
      </c>
      <c r="E103" s="438">
        <v>2016</v>
      </c>
      <c r="F103" s="438">
        <v>2016</v>
      </c>
      <c r="G103" s="1030"/>
      <c r="I103" s="1032" t="s">
        <v>276</v>
      </c>
      <c r="J103" s="1031"/>
      <c r="K103" s="471">
        <f>D103</f>
        <v>2019</v>
      </c>
      <c r="L103" s="471">
        <f>E103</f>
        <v>2016</v>
      </c>
      <c r="M103" s="438">
        <v>2016</v>
      </c>
      <c r="N103" s="1030"/>
      <c r="P103" s="1032" t="s">
        <v>277</v>
      </c>
      <c r="Q103" s="1031"/>
      <c r="R103" s="438">
        <f>K103</f>
        <v>2019</v>
      </c>
      <c r="S103" s="438">
        <f>L103</f>
        <v>2016</v>
      </c>
      <c r="T103" s="438">
        <v>2016</v>
      </c>
      <c r="U103" s="1030"/>
      <c r="W103" s="457" t="s">
        <v>276</v>
      </c>
      <c r="X103" s="458">
        <v>1.5</v>
      </c>
    </row>
    <row r="104" spans="1:28" ht="13.5" thickBot="1" x14ac:dyDescent="0.3">
      <c r="A104" s="1033"/>
      <c r="B104" s="459">
        <v>1</v>
      </c>
      <c r="C104" s="36">
        <v>15</v>
      </c>
      <c r="D104" s="36">
        <v>0.2</v>
      </c>
      <c r="E104" s="36">
        <v>0.2</v>
      </c>
      <c r="F104" s="462"/>
      <c r="G104" s="460">
        <f>0.5*(MAX(D104:F104)-MIN(D104:F104))</f>
        <v>0</v>
      </c>
      <c r="I104" s="459">
        <v>1</v>
      </c>
      <c r="J104" s="32">
        <v>30</v>
      </c>
      <c r="K104" s="36">
        <v>-2.9</v>
      </c>
      <c r="L104" s="36">
        <v>-5.8</v>
      </c>
      <c r="M104" s="462"/>
      <c r="N104" s="460">
        <f>0.5*(MAX(K104:M104)-MIN(K104:M104))</f>
        <v>1.45</v>
      </c>
      <c r="P104" s="459">
        <v>1</v>
      </c>
      <c r="Q104" s="36">
        <v>750</v>
      </c>
      <c r="R104" s="31" t="s">
        <v>243</v>
      </c>
      <c r="S104" s="31" t="s">
        <v>243</v>
      </c>
      <c r="T104" s="462"/>
      <c r="U104" s="460">
        <f>0.5*(MAX(R104:T104)-MIN(R104:T104))</f>
        <v>0</v>
      </c>
      <c r="W104" s="463" t="s">
        <v>277</v>
      </c>
      <c r="X104" s="464">
        <v>0</v>
      </c>
    </row>
    <row r="105" spans="1:28" ht="13" x14ac:dyDescent="0.25">
      <c r="A105" s="1033"/>
      <c r="B105" s="459">
        <v>2</v>
      </c>
      <c r="C105" s="36">
        <v>20</v>
      </c>
      <c r="D105" s="36">
        <v>0.2</v>
      </c>
      <c r="E105" s="36">
        <v>-0.7</v>
      </c>
      <c r="F105" s="462"/>
      <c r="G105" s="460">
        <f t="shared" ref="G105:G110" si="27">0.5*(MAX(D105:F105)-MIN(D105:F105))</f>
        <v>0.44999999999999996</v>
      </c>
      <c r="I105" s="459">
        <v>2</v>
      </c>
      <c r="J105" s="32">
        <v>40</v>
      </c>
      <c r="K105" s="36">
        <v>-3.3</v>
      </c>
      <c r="L105" s="36">
        <v>-6.4</v>
      </c>
      <c r="M105" s="462"/>
      <c r="N105" s="460">
        <f t="shared" ref="N105:N110" si="28">0.5*(MAX(K105:M105)-MIN(K105:M105))</f>
        <v>1.5500000000000003</v>
      </c>
      <c r="P105" s="459">
        <v>2</v>
      </c>
      <c r="Q105" s="36">
        <v>800</v>
      </c>
      <c r="R105" s="31" t="s">
        <v>243</v>
      </c>
      <c r="S105" s="31" t="s">
        <v>243</v>
      </c>
      <c r="T105" s="462"/>
      <c r="U105" s="460">
        <f t="shared" ref="U105:U110" si="29">0.5*(MAX(R105:T105)-MIN(R105:T105))</f>
        <v>0</v>
      </c>
    </row>
    <row r="106" spans="1:28" ht="13" x14ac:dyDescent="0.25">
      <c r="A106" s="1033"/>
      <c r="B106" s="459">
        <v>3</v>
      </c>
      <c r="C106" s="36">
        <v>25</v>
      </c>
      <c r="D106" s="36">
        <v>0.1</v>
      </c>
      <c r="E106" s="36">
        <v>-0.5</v>
      </c>
      <c r="F106" s="462"/>
      <c r="G106" s="460">
        <f t="shared" si="27"/>
        <v>0.3</v>
      </c>
      <c r="I106" s="459">
        <v>3</v>
      </c>
      <c r="J106" s="32">
        <v>50</v>
      </c>
      <c r="K106" s="36">
        <v>-3.1</v>
      </c>
      <c r="L106" s="36">
        <v>-6.1</v>
      </c>
      <c r="M106" s="462"/>
      <c r="N106" s="460">
        <f t="shared" si="28"/>
        <v>1.4999999999999998</v>
      </c>
      <c r="P106" s="459">
        <v>3</v>
      </c>
      <c r="Q106" s="36">
        <v>850</v>
      </c>
      <c r="R106" s="31" t="s">
        <v>243</v>
      </c>
      <c r="S106" s="31" t="s">
        <v>243</v>
      </c>
      <c r="T106" s="462"/>
      <c r="U106" s="460">
        <f t="shared" si="29"/>
        <v>0</v>
      </c>
    </row>
    <row r="107" spans="1:28" ht="13" x14ac:dyDescent="0.25">
      <c r="A107" s="1033"/>
      <c r="B107" s="459">
        <v>4</v>
      </c>
      <c r="C107" s="465">
        <v>30</v>
      </c>
      <c r="D107" s="465">
        <v>0.1</v>
      </c>
      <c r="E107" s="465">
        <v>0.2</v>
      </c>
      <c r="F107" s="462"/>
      <c r="G107" s="460">
        <f t="shared" si="27"/>
        <v>0.05</v>
      </c>
      <c r="I107" s="459">
        <v>4</v>
      </c>
      <c r="J107" s="472">
        <v>60</v>
      </c>
      <c r="K107" s="465">
        <v>-2.1</v>
      </c>
      <c r="L107" s="465">
        <v>-5.6</v>
      </c>
      <c r="M107" s="462"/>
      <c r="N107" s="460">
        <f t="shared" si="28"/>
        <v>1.7499999999999998</v>
      </c>
      <c r="P107" s="459">
        <v>4</v>
      </c>
      <c r="Q107" s="465">
        <v>900</v>
      </c>
      <c r="R107" s="466" t="s">
        <v>243</v>
      </c>
      <c r="S107" s="466" t="s">
        <v>243</v>
      </c>
      <c r="T107" s="462"/>
      <c r="U107" s="460">
        <f t="shared" si="29"/>
        <v>0</v>
      </c>
    </row>
    <row r="108" spans="1:28" ht="13" x14ac:dyDescent="0.25">
      <c r="A108" s="1033"/>
      <c r="B108" s="459">
        <v>5</v>
      </c>
      <c r="C108" s="465">
        <v>35</v>
      </c>
      <c r="D108" s="465">
        <v>0.2</v>
      </c>
      <c r="E108" s="465">
        <v>0.8</v>
      </c>
      <c r="F108" s="462"/>
      <c r="G108" s="460">
        <f t="shared" si="27"/>
        <v>0.30000000000000004</v>
      </c>
      <c r="I108" s="459">
        <v>5</v>
      </c>
      <c r="J108" s="472">
        <v>70</v>
      </c>
      <c r="K108" s="465">
        <v>-0.3</v>
      </c>
      <c r="L108" s="465">
        <v>-5.0999999999999996</v>
      </c>
      <c r="M108" s="462"/>
      <c r="N108" s="460">
        <f t="shared" si="28"/>
        <v>2.4</v>
      </c>
      <c r="P108" s="459">
        <v>5</v>
      </c>
      <c r="Q108" s="465">
        <v>1000</v>
      </c>
      <c r="R108" s="466" t="s">
        <v>243</v>
      </c>
      <c r="S108" s="466" t="s">
        <v>243</v>
      </c>
      <c r="T108" s="462"/>
      <c r="U108" s="460">
        <f t="shared" si="29"/>
        <v>0</v>
      </c>
    </row>
    <row r="109" spans="1:28" ht="13" x14ac:dyDescent="0.25">
      <c r="A109" s="1033"/>
      <c r="B109" s="459">
        <v>6</v>
      </c>
      <c r="C109" s="465">
        <v>37</v>
      </c>
      <c r="D109" s="465">
        <v>0.2</v>
      </c>
      <c r="E109" s="465">
        <v>0.4</v>
      </c>
      <c r="F109" s="462"/>
      <c r="G109" s="460">
        <f t="shared" si="27"/>
        <v>0.1</v>
      </c>
      <c r="I109" s="459">
        <v>6</v>
      </c>
      <c r="J109" s="472">
        <v>80</v>
      </c>
      <c r="K109" s="465">
        <v>2.2000000000000002</v>
      </c>
      <c r="L109" s="465">
        <v>-4.7</v>
      </c>
      <c r="M109" s="462"/>
      <c r="N109" s="460">
        <f t="shared" si="28"/>
        <v>3.45</v>
      </c>
      <c r="P109" s="459">
        <v>6</v>
      </c>
      <c r="Q109" s="465">
        <v>1005</v>
      </c>
      <c r="R109" s="466" t="s">
        <v>243</v>
      </c>
      <c r="S109" s="466" t="s">
        <v>243</v>
      </c>
      <c r="T109" s="462"/>
      <c r="U109" s="460">
        <f t="shared" si="29"/>
        <v>0</v>
      </c>
    </row>
    <row r="110" spans="1:28" ht="13.5" thickBot="1" x14ac:dyDescent="0.3">
      <c r="A110" s="1033"/>
      <c r="B110" s="459">
        <v>7</v>
      </c>
      <c r="C110" s="472">
        <v>40</v>
      </c>
      <c r="D110" s="32">
        <v>0.2</v>
      </c>
      <c r="E110" s="32">
        <v>9.9999999999999995E-7</v>
      </c>
      <c r="F110" s="462"/>
      <c r="G110" s="460">
        <f t="shared" si="27"/>
        <v>9.9999500000000005E-2</v>
      </c>
      <c r="I110" s="459">
        <v>7</v>
      </c>
      <c r="J110" s="472">
        <v>90</v>
      </c>
      <c r="K110" s="472">
        <v>5.4</v>
      </c>
      <c r="L110" s="32">
        <v>9.9999999999999995E-7</v>
      </c>
      <c r="M110" s="462"/>
      <c r="N110" s="460">
        <f t="shared" si="28"/>
        <v>2.6999995000000001</v>
      </c>
      <c r="P110" s="459">
        <v>7</v>
      </c>
      <c r="Q110" s="465">
        <v>1020</v>
      </c>
      <c r="R110" s="466" t="s">
        <v>243</v>
      </c>
      <c r="S110" s="466" t="s">
        <v>243</v>
      </c>
      <c r="T110" s="462"/>
      <c r="U110" s="460">
        <f t="shared" si="29"/>
        <v>0</v>
      </c>
    </row>
    <row r="111" spans="1:28" ht="13.5" thickBot="1" x14ac:dyDescent="0.35">
      <c r="A111" s="46"/>
      <c r="B111" s="310"/>
      <c r="C111" s="310"/>
      <c r="D111" s="310"/>
      <c r="E111" s="470"/>
      <c r="F111" s="41"/>
      <c r="G111" s="435"/>
      <c r="H111" s="310"/>
      <c r="I111" s="310"/>
      <c r="J111" s="310"/>
      <c r="K111" s="470"/>
      <c r="L111" s="41"/>
      <c r="M111" s="435"/>
      <c r="O111" s="434"/>
      <c r="P111" s="441"/>
    </row>
    <row r="112" spans="1:28" x14ac:dyDescent="0.25">
      <c r="A112" s="1033">
        <v>11</v>
      </c>
      <c r="B112" s="1034" t="s">
        <v>287</v>
      </c>
      <c r="C112" s="1034"/>
      <c r="D112" s="1034"/>
      <c r="E112" s="1034"/>
      <c r="F112" s="1034"/>
      <c r="G112" s="1034"/>
      <c r="I112" s="1034" t="str">
        <f>B112</f>
        <v>KOREKSI Sekonic HE-21.000670</v>
      </c>
      <c r="J112" s="1034"/>
      <c r="K112" s="1034"/>
      <c r="L112" s="1034"/>
      <c r="M112" s="1034"/>
      <c r="N112" s="1034"/>
      <c r="P112" s="1034" t="str">
        <f>I112</f>
        <v>KOREKSI Sekonic HE-21.000670</v>
      </c>
      <c r="Q112" s="1034"/>
      <c r="R112" s="1034"/>
      <c r="S112" s="1034"/>
      <c r="T112" s="1034"/>
      <c r="U112" s="1034"/>
      <c r="W112" s="1028" t="s">
        <v>222</v>
      </c>
      <c r="X112" s="1029"/>
      <c r="AB112" s="434"/>
    </row>
    <row r="113" spans="1:24" ht="13" x14ac:dyDescent="0.25">
      <c r="A113" s="1033"/>
      <c r="B113" s="1030" t="s">
        <v>270</v>
      </c>
      <c r="C113" s="1030"/>
      <c r="D113" s="1030" t="s">
        <v>271</v>
      </c>
      <c r="E113" s="1030"/>
      <c r="F113" s="1030"/>
      <c r="G113" s="1030" t="s">
        <v>272</v>
      </c>
      <c r="I113" s="1030" t="s">
        <v>273</v>
      </c>
      <c r="J113" s="1030"/>
      <c r="K113" s="1030" t="s">
        <v>271</v>
      </c>
      <c r="L113" s="1030"/>
      <c r="M113" s="1030"/>
      <c r="N113" s="1030" t="s">
        <v>272</v>
      </c>
      <c r="P113" s="1030" t="s">
        <v>274</v>
      </c>
      <c r="Q113" s="1030"/>
      <c r="R113" s="1030" t="s">
        <v>271</v>
      </c>
      <c r="S113" s="1030"/>
      <c r="T113" s="1030"/>
      <c r="U113" s="1030" t="s">
        <v>272</v>
      </c>
      <c r="W113" s="457" t="s">
        <v>270</v>
      </c>
      <c r="X113" s="458">
        <v>0.3</v>
      </c>
    </row>
    <row r="114" spans="1:24" ht="14.5" x14ac:dyDescent="0.25">
      <c r="A114" s="1033"/>
      <c r="B114" s="1031" t="s">
        <v>275</v>
      </c>
      <c r="C114" s="1031"/>
      <c r="D114" s="438">
        <v>2020</v>
      </c>
      <c r="E114" s="440">
        <v>2016</v>
      </c>
      <c r="F114" s="438">
        <v>2016</v>
      </c>
      <c r="G114" s="1030"/>
      <c r="I114" s="1032" t="s">
        <v>276</v>
      </c>
      <c r="J114" s="1031"/>
      <c r="K114" s="471">
        <f>D114</f>
        <v>2020</v>
      </c>
      <c r="L114" s="471">
        <f>E114</f>
        <v>2016</v>
      </c>
      <c r="M114" s="438">
        <v>2016</v>
      </c>
      <c r="N114" s="1030"/>
      <c r="P114" s="1032" t="s">
        <v>277</v>
      </c>
      <c r="Q114" s="1031"/>
      <c r="R114" s="471">
        <f>K114</f>
        <v>2020</v>
      </c>
      <c r="S114" s="471">
        <f>L114</f>
        <v>2016</v>
      </c>
      <c r="T114" s="438">
        <v>2016</v>
      </c>
      <c r="U114" s="1030"/>
      <c r="W114" s="457" t="s">
        <v>276</v>
      </c>
      <c r="X114" s="458">
        <v>1.8</v>
      </c>
    </row>
    <row r="115" spans="1:24" ht="13.5" thickBot="1" x14ac:dyDescent="0.3">
      <c r="A115" s="1033"/>
      <c r="B115" s="459">
        <v>1</v>
      </c>
      <c r="C115" s="36">
        <v>15</v>
      </c>
      <c r="D115" s="36">
        <v>0.3</v>
      </c>
      <c r="E115" s="36">
        <v>0.3</v>
      </c>
      <c r="F115" s="462"/>
      <c r="G115" s="460">
        <f>0.5*(MAX(D115:F115)-MIN(D115:F115))</f>
        <v>0</v>
      </c>
      <c r="I115" s="459">
        <v>1</v>
      </c>
      <c r="J115" s="36">
        <v>30</v>
      </c>
      <c r="K115" s="36">
        <v>-5.2</v>
      </c>
      <c r="L115" s="36">
        <v>-6.4</v>
      </c>
      <c r="M115" s="462"/>
      <c r="N115" s="460">
        <f>0.5*(MAX(K115:M115)-MIN(K115:M115))</f>
        <v>0.60000000000000009</v>
      </c>
      <c r="P115" s="459">
        <v>1</v>
      </c>
      <c r="Q115" s="36">
        <v>750</v>
      </c>
      <c r="R115" s="31" t="s">
        <v>243</v>
      </c>
      <c r="S115" s="32" t="s">
        <v>243</v>
      </c>
      <c r="T115" s="462"/>
      <c r="U115" s="460">
        <f>0.5*(MAX(R115:T115)-MIN(R115:T115))</f>
        <v>0</v>
      </c>
      <c r="W115" s="463" t="s">
        <v>277</v>
      </c>
      <c r="X115" s="464">
        <v>0</v>
      </c>
    </row>
    <row r="116" spans="1:24" ht="13" x14ac:dyDescent="0.25">
      <c r="A116" s="1033"/>
      <c r="B116" s="459">
        <v>2</v>
      </c>
      <c r="C116" s="36">
        <v>20</v>
      </c>
      <c r="D116" s="36">
        <v>0.4</v>
      </c>
      <c r="E116" s="36">
        <v>0.5</v>
      </c>
      <c r="F116" s="462"/>
      <c r="G116" s="460">
        <f t="shared" ref="G116:G121" si="30">0.5*(MAX(D116:F116)-MIN(D116:F116))</f>
        <v>4.9999999999999989E-2</v>
      </c>
      <c r="I116" s="459">
        <v>2</v>
      </c>
      <c r="J116" s="36">
        <v>40</v>
      </c>
      <c r="K116" s="36">
        <v>-5.5</v>
      </c>
      <c r="L116" s="36">
        <v>-5.9</v>
      </c>
      <c r="M116" s="462"/>
      <c r="N116" s="460">
        <f t="shared" ref="N116:N121" si="31">0.5*(MAX(K116:M116)-MIN(K116:M116))</f>
        <v>0.20000000000000018</v>
      </c>
      <c r="P116" s="459">
        <v>2</v>
      </c>
      <c r="Q116" s="36">
        <v>800</v>
      </c>
      <c r="R116" s="31" t="s">
        <v>243</v>
      </c>
      <c r="S116" s="32" t="s">
        <v>243</v>
      </c>
      <c r="T116" s="462"/>
      <c r="U116" s="460">
        <f t="shared" ref="U116:U121" si="32">0.5*(MAX(R116:T116)-MIN(R116:T116))</f>
        <v>0</v>
      </c>
    </row>
    <row r="117" spans="1:24" ht="13" x14ac:dyDescent="0.25">
      <c r="A117" s="1033"/>
      <c r="B117" s="459">
        <v>3</v>
      </c>
      <c r="C117" s="36">
        <v>25</v>
      </c>
      <c r="D117" s="36">
        <v>0.4</v>
      </c>
      <c r="E117" s="36">
        <v>0.5</v>
      </c>
      <c r="F117" s="462"/>
      <c r="G117" s="460">
        <f t="shared" si="30"/>
        <v>4.9999999999999989E-2</v>
      </c>
      <c r="I117" s="459">
        <v>3</v>
      </c>
      <c r="J117" s="36">
        <v>50</v>
      </c>
      <c r="K117" s="36">
        <v>-5.5</v>
      </c>
      <c r="L117" s="36">
        <v>-5.6</v>
      </c>
      <c r="M117" s="462"/>
      <c r="N117" s="460">
        <f t="shared" si="31"/>
        <v>4.9999999999999822E-2</v>
      </c>
      <c r="P117" s="459">
        <v>3</v>
      </c>
      <c r="Q117" s="36">
        <v>850</v>
      </c>
      <c r="R117" s="31" t="s">
        <v>243</v>
      </c>
      <c r="S117" s="32" t="s">
        <v>243</v>
      </c>
      <c r="T117" s="462"/>
      <c r="U117" s="460">
        <f t="shared" si="32"/>
        <v>0</v>
      </c>
    </row>
    <row r="118" spans="1:24" ht="13" x14ac:dyDescent="0.25">
      <c r="A118" s="1033"/>
      <c r="B118" s="459">
        <v>4</v>
      </c>
      <c r="C118" s="465">
        <v>30</v>
      </c>
      <c r="D118" s="465">
        <v>0.5</v>
      </c>
      <c r="E118" s="465">
        <v>0.4</v>
      </c>
      <c r="F118" s="462"/>
      <c r="G118" s="460">
        <f t="shared" si="30"/>
        <v>4.9999999999999989E-2</v>
      </c>
      <c r="I118" s="459">
        <v>4</v>
      </c>
      <c r="J118" s="465">
        <v>60</v>
      </c>
      <c r="K118" s="465">
        <v>-4.8</v>
      </c>
      <c r="L118" s="465">
        <v>-4.5</v>
      </c>
      <c r="M118" s="462"/>
      <c r="N118" s="460">
        <f t="shared" si="31"/>
        <v>0.14999999999999991</v>
      </c>
      <c r="P118" s="459">
        <v>4</v>
      </c>
      <c r="Q118" s="465">
        <v>900</v>
      </c>
      <c r="R118" s="466" t="s">
        <v>243</v>
      </c>
      <c r="S118" s="466" t="s">
        <v>243</v>
      </c>
      <c r="T118" s="462"/>
      <c r="U118" s="460">
        <f t="shared" si="32"/>
        <v>0</v>
      </c>
    </row>
    <row r="119" spans="1:24" ht="13" x14ac:dyDescent="0.25">
      <c r="A119" s="1033"/>
      <c r="B119" s="459">
        <v>5</v>
      </c>
      <c r="C119" s="465">
        <v>35</v>
      </c>
      <c r="D119" s="465">
        <v>0.5</v>
      </c>
      <c r="E119" s="465">
        <v>0.4</v>
      </c>
      <c r="F119" s="462"/>
      <c r="G119" s="460">
        <f t="shared" si="30"/>
        <v>4.9999999999999989E-2</v>
      </c>
      <c r="I119" s="459">
        <v>5</v>
      </c>
      <c r="J119" s="465">
        <v>70</v>
      </c>
      <c r="K119" s="465">
        <v>-3.4</v>
      </c>
      <c r="L119" s="465">
        <v>-1.7</v>
      </c>
      <c r="M119" s="462"/>
      <c r="N119" s="460">
        <f t="shared" si="31"/>
        <v>0.85</v>
      </c>
      <c r="P119" s="459">
        <v>5</v>
      </c>
      <c r="Q119" s="465">
        <v>1000</v>
      </c>
      <c r="R119" s="466" t="s">
        <v>243</v>
      </c>
      <c r="S119" s="466" t="s">
        <v>243</v>
      </c>
      <c r="T119" s="462"/>
      <c r="U119" s="460">
        <f t="shared" si="32"/>
        <v>0</v>
      </c>
    </row>
    <row r="120" spans="1:24" ht="13" x14ac:dyDescent="0.25">
      <c r="A120" s="1033"/>
      <c r="B120" s="459">
        <v>6</v>
      </c>
      <c r="C120" s="465">
        <v>37</v>
      </c>
      <c r="D120" s="465">
        <v>0.5</v>
      </c>
      <c r="E120" s="465">
        <v>0.5</v>
      </c>
      <c r="F120" s="462"/>
      <c r="G120" s="460">
        <f t="shared" si="30"/>
        <v>0</v>
      </c>
      <c r="I120" s="459">
        <v>6</v>
      </c>
      <c r="J120" s="465">
        <v>80</v>
      </c>
      <c r="K120" s="465">
        <v>-1.4</v>
      </c>
      <c r="L120" s="465">
        <v>2.6</v>
      </c>
      <c r="M120" s="462"/>
      <c r="N120" s="460">
        <f t="shared" si="31"/>
        <v>2</v>
      </c>
      <c r="P120" s="459">
        <v>6</v>
      </c>
      <c r="Q120" s="465">
        <v>1005</v>
      </c>
      <c r="R120" s="466" t="s">
        <v>243</v>
      </c>
      <c r="S120" s="466" t="s">
        <v>243</v>
      </c>
      <c r="T120" s="462"/>
      <c r="U120" s="460">
        <f t="shared" si="32"/>
        <v>0</v>
      </c>
    </row>
    <row r="121" spans="1:24" ht="13.5" thickBot="1" x14ac:dyDescent="0.3">
      <c r="A121" s="1033"/>
      <c r="B121" s="459">
        <v>7</v>
      </c>
      <c r="C121" s="472">
        <v>40</v>
      </c>
      <c r="D121" s="472">
        <v>0.5</v>
      </c>
      <c r="E121" s="32">
        <v>9.9999999999999995E-7</v>
      </c>
      <c r="F121" s="462"/>
      <c r="G121" s="460">
        <f t="shared" si="30"/>
        <v>0.24999950000000001</v>
      </c>
      <c r="I121" s="459">
        <v>7</v>
      </c>
      <c r="J121" s="472">
        <v>90</v>
      </c>
      <c r="K121" s="472">
        <v>1.3</v>
      </c>
      <c r="L121" s="32">
        <v>9.9999999999999995E-7</v>
      </c>
      <c r="M121" s="462"/>
      <c r="N121" s="460">
        <f t="shared" si="31"/>
        <v>0.64999950000000006</v>
      </c>
      <c r="P121" s="459">
        <v>7</v>
      </c>
      <c r="Q121" s="465">
        <v>1020</v>
      </c>
      <c r="R121" s="466" t="s">
        <v>243</v>
      </c>
      <c r="S121" s="466" t="s">
        <v>243</v>
      </c>
      <c r="T121" s="462"/>
      <c r="U121" s="460">
        <f t="shared" si="32"/>
        <v>0</v>
      </c>
    </row>
    <row r="122" spans="1:24" ht="13.5" thickBot="1" x14ac:dyDescent="0.35">
      <c r="A122" s="46"/>
      <c r="B122" s="310"/>
      <c r="C122" s="310"/>
      <c r="D122" s="310"/>
      <c r="E122" s="470"/>
      <c r="F122" s="41"/>
      <c r="G122" s="435"/>
      <c r="I122" s="310"/>
      <c r="J122" s="310"/>
      <c r="K122" s="310"/>
      <c r="L122" s="470"/>
      <c r="M122" s="41"/>
      <c r="Q122" s="434"/>
      <c r="R122" s="441"/>
    </row>
    <row r="123" spans="1:24" x14ac:dyDescent="0.25">
      <c r="A123" s="1033">
        <v>12</v>
      </c>
      <c r="B123" s="1034" t="s">
        <v>288</v>
      </c>
      <c r="C123" s="1034"/>
      <c r="D123" s="1034"/>
      <c r="E123" s="1034"/>
      <c r="F123" s="1034"/>
      <c r="G123" s="1034"/>
      <c r="I123" s="1034" t="str">
        <f>B123</f>
        <v>KOREKSI EXTECH A.100586</v>
      </c>
      <c r="J123" s="1034"/>
      <c r="K123" s="1034"/>
      <c r="L123" s="1034"/>
      <c r="M123" s="1034"/>
      <c r="N123" s="1034"/>
      <c r="P123" s="1034" t="str">
        <f>I123</f>
        <v>KOREKSI EXTECH A.100586</v>
      </c>
      <c r="Q123" s="1034"/>
      <c r="R123" s="1034"/>
      <c r="S123" s="1034"/>
      <c r="T123" s="1034"/>
      <c r="U123" s="1034"/>
      <c r="W123" s="1028" t="s">
        <v>222</v>
      </c>
      <c r="X123" s="1029"/>
    </row>
    <row r="124" spans="1:24" ht="13" x14ac:dyDescent="0.25">
      <c r="A124" s="1033"/>
      <c r="B124" s="1030" t="s">
        <v>270</v>
      </c>
      <c r="C124" s="1030"/>
      <c r="D124" s="1030" t="s">
        <v>271</v>
      </c>
      <c r="E124" s="1030"/>
      <c r="F124" s="1030"/>
      <c r="G124" s="1030" t="s">
        <v>272</v>
      </c>
      <c r="I124" s="1030" t="s">
        <v>273</v>
      </c>
      <c r="J124" s="1030"/>
      <c r="K124" s="1030" t="s">
        <v>271</v>
      </c>
      <c r="L124" s="1030"/>
      <c r="M124" s="1030"/>
      <c r="N124" s="1030" t="s">
        <v>272</v>
      </c>
      <c r="P124" s="1030" t="s">
        <v>274</v>
      </c>
      <c r="Q124" s="1030"/>
      <c r="R124" s="1030" t="s">
        <v>271</v>
      </c>
      <c r="S124" s="1030"/>
      <c r="T124" s="1030"/>
      <c r="U124" s="1030" t="s">
        <v>272</v>
      </c>
      <c r="W124" s="457" t="s">
        <v>270</v>
      </c>
      <c r="X124" s="458">
        <v>0.3</v>
      </c>
    </row>
    <row r="125" spans="1:24" ht="14.5" x14ac:dyDescent="0.25">
      <c r="A125" s="1033"/>
      <c r="B125" s="1031" t="s">
        <v>275</v>
      </c>
      <c r="C125" s="1031"/>
      <c r="D125" s="438">
        <v>2020</v>
      </c>
      <c r="E125" s="440" t="s">
        <v>243</v>
      </c>
      <c r="F125" s="438">
        <v>2016</v>
      </c>
      <c r="G125" s="1030"/>
      <c r="I125" s="1032" t="s">
        <v>276</v>
      </c>
      <c r="J125" s="1031"/>
      <c r="K125" s="438">
        <f>D125</f>
        <v>2020</v>
      </c>
      <c r="L125" s="438" t="str">
        <f>E125</f>
        <v>-</v>
      </c>
      <c r="M125" s="438">
        <v>2016</v>
      </c>
      <c r="N125" s="1030"/>
      <c r="P125" s="1032" t="s">
        <v>277</v>
      </c>
      <c r="Q125" s="1031"/>
      <c r="R125" s="438">
        <f>K125</f>
        <v>2020</v>
      </c>
      <c r="S125" s="438" t="str">
        <f>L125</f>
        <v>-</v>
      </c>
      <c r="T125" s="438">
        <v>2016</v>
      </c>
      <c r="U125" s="1030"/>
      <c r="W125" s="457" t="s">
        <v>276</v>
      </c>
      <c r="X125" s="458">
        <v>2</v>
      </c>
    </row>
    <row r="126" spans="1:24" ht="13.5" thickBot="1" x14ac:dyDescent="0.3">
      <c r="A126" s="1033"/>
      <c r="B126" s="459">
        <v>1</v>
      </c>
      <c r="C126" s="36">
        <v>15</v>
      </c>
      <c r="D126" s="32">
        <v>9.9999999999999995E-7</v>
      </c>
      <c r="E126" s="32" t="s">
        <v>243</v>
      </c>
      <c r="F126" s="462"/>
      <c r="G126" s="460">
        <f>0.5*(MAX(D126:F126)-MIN(D126:F126))</f>
        <v>0</v>
      </c>
      <c r="I126" s="459">
        <v>1</v>
      </c>
      <c r="J126" s="36">
        <v>30</v>
      </c>
      <c r="K126" s="36">
        <v>-0.4</v>
      </c>
      <c r="L126" s="32" t="s">
        <v>243</v>
      </c>
      <c r="M126" s="462"/>
      <c r="N126" s="460">
        <f>0.5*(MAX(K126:M126)-MIN(K126:M126))</f>
        <v>0</v>
      </c>
      <c r="P126" s="459">
        <v>1</v>
      </c>
      <c r="Q126" s="36">
        <v>800</v>
      </c>
      <c r="R126" s="31">
        <v>-0.4</v>
      </c>
      <c r="S126" s="32" t="s">
        <v>243</v>
      </c>
      <c r="T126" s="462"/>
      <c r="U126" s="460">
        <f>0.5*(MAX(R126:T126)-MIN(R126:T126))</f>
        <v>0</v>
      </c>
      <c r="W126" s="463" t="s">
        <v>277</v>
      </c>
      <c r="X126" s="464">
        <v>2.4</v>
      </c>
    </row>
    <row r="127" spans="1:24" ht="13" x14ac:dyDescent="0.25">
      <c r="A127" s="1033"/>
      <c r="B127" s="459">
        <v>2</v>
      </c>
      <c r="C127" s="36">
        <v>20</v>
      </c>
      <c r="D127" s="32">
        <v>9.9999999999999995E-7</v>
      </c>
      <c r="E127" s="32" t="s">
        <v>243</v>
      </c>
      <c r="F127" s="462"/>
      <c r="G127" s="460">
        <f t="shared" ref="G127:G132" si="33">0.5*(MAX(D127:F127)-MIN(D127:F127))</f>
        <v>0</v>
      </c>
      <c r="I127" s="459">
        <v>2</v>
      </c>
      <c r="J127" s="36">
        <v>40</v>
      </c>
      <c r="K127" s="36">
        <v>-0.1</v>
      </c>
      <c r="L127" s="32" t="s">
        <v>243</v>
      </c>
      <c r="M127" s="462"/>
      <c r="N127" s="460">
        <f t="shared" ref="N127:N132" si="34">0.5*(MAX(K127:M127)-MIN(K127:M127))</f>
        <v>0</v>
      </c>
      <c r="P127" s="459">
        <v>2</v>
      </c>
      <c r="Q127" s="36">
        <v>850</v>
      </c>
      <c r="R127" s="31">
        <v>-0.5</v>
      </c>
      <c r="S127" s="32" t="s">
        <v>243</v>
      </c>
      <c r="T127" s="462"/>
      <c r="U127" s="460">
        <f t="shared" ref="U127:U132" si="35">0.5*(MAX(R127:T127)-MIN(R127:T127))</f>
        <v>0</v>
      </c>
    </row>
    <row r="128" spans="1:24" ht="13" x14ac:dyDescent="0.25">
      <c r="A128" s="1033"/>
      <c r="B128" s="459">
        <v>3</v>
      </c>
      <c r="C128" s="36">
        <v>25</v>
      </c>
      <c r="D128" s="32">
        <v>9.9999999999999995E-7</v>
      </c>
      <c r="E128" s="32" t="s">
        <v>243</v>
      </c>
      <c r="F128" s="462"/>
      <c r="G128" s="460">
        <f t="shared" si="33"/>
        <v>0</v>
      </c>
      <c r="I128" s="459">
        <v>3</v>
      </c>
      <c r="J128" s="36">
        <v>50</v>
      </c>
      <c r="K128" s="32">
        <v>9.9999999999999995E-7</v>
      </c>
      <c r="L128" s="32" t="s">
        <v>243</v>
      </c>
      <c r="M128" s="462"/>
      <c r="N128" s="460">
        <f t="shared" si="34"/>
        <v>0</v>
      </c>
      <c r="P128" s="459">
        <v>3</v>
      </c>
      <c r="Q128" s="465">
        <v>900</v>
      </c>
      <c r="R128" s="466">
        <v>-0.6</v>
      </c>
      <c r="S128" s="32" t="s">
        <v>243</v>
      </c>
      <c r="T128" s="462"/>
      <c r="U128" s="460">
        <f t="shared" si="35"/>
        <v>0</v>
      </c>
    </row>
    <row r="129" spans="1:24" ht="13" x14ac:dyDescent="0.25">
      <c r="A129" s="1033"/>
      <c r="B129" s="459">
        <v>4</v>
      </c>
      <c r="C129" s="465">
        <v>30</v>
      </c>
      <c r="D129" s="465">
        <v>-0.1</v>
      </c>
      <c r="E129" s="466" t="s">
        <v>243</v>
      </c>
      <c r="F129" s="462"/>
      <c r="G129" s="460">
        <f t="shared" si="33"/>
        <v>0</v>
      </c>
      <c r="I129" s="459">
        <v>4</v>
      </c>
      <c r="J129" s="465">
        <v>60</v>
      </c>
      <c r="K129" s="32">
        <v>9.9999999999999995E-7</v>
      </c>
      <c r="L129" s="466" t="s">
        <v>243</v>
      </c>
      <c r="M129" s="462"/>
      <c r="N129" s="460">
        <f t="shared" si="34"/>
        <v>0</v>
      </c>
      <c r="P129" s="459">
        <v>4</v>
      </c>
      <c r="Q129" s="465">
        <v>950</v>
      </c>
      <c r="R129" s="466">
        <v>-0.7</v>
      </c>
      <c r="S129" s="466" t="s">
        <v>243</v>
      </c>
      <c r="T129" s="462"/>
      <c r="U129" s="460">
        <f t="shared" si="35"/>
        <v>0</v>
      </c>
    </row>
    <row r="130" spans="1:24" ht="13" x14ac:dyDescent="0.25">
      <c r="A130" s="1033"/>
      <c r="B130" s="459">
        <v>5</v>
      </c>
      <c r="C130" s="465">
        <v>35</v>
      </c>
      <c r="D130" s="465">
        <v>-0.2</v>
      </c>
      <c r="E130" s="466" t="s">
        <v>243</v>
      </c>
      <c r="F130" s="462"/>
      <c r="G130" s="460">
        <f t="shared" si="33"/>
        <v>0</v>
      </c>
      <c r="I130" s="459">
        <v>5</v>
      </c>
      <c r="J130" s="465">
        <v>70</v>
      </c>
      <c r="K130" s="465">
        <v>-0.1</v>
      </c>
      <c r="L130" s="466" t="s">
        <v>243</v>
      </c>
      <c r="M130" s="462"/>
      <c r="N130" s="460">
        <f t="shared" si="34"/>
        <v>0</v>
      </c>
      <c r="P130" s="459">
        <v>5</v>
      </c>
      <c r="Q130" s="465">
        <v>1000</v>
      </c>
      <c r="R130" s="466">
        <v>-0.8</v>
      </c>
      <c r="S130" s="466" t="s">
        <v>243</v>
      </c>
      <c r="T130" s="462"/>
      <c r="U130" s="460">
        <f t="shared" si="35"/>
        <v>0</v>
      </c>
    </row>
    <row r="131" spans="1:24" ht="13" x14ac:dyDescent="0.25">
      <c r="A131" s="1033"/>
      <c r="B131" s="459">
        <v>6</v>
      </c>
      <c r="C131" s="465">
        <v>37</v>
      </c>
      <c r="D131" s="465">
        <v>-0.3</v>
      </c>
      <c r="E131" s="466" t="s">
        <v>243</v>
      </c>
      <c r="F131" s="462"/>
      <c r="G131" s="460">
        <f t="shared" si="33"/>
        <v>0</v>
      </c>
      <c r="I131" s="459">
        <v>6</v>
      </c>
      <c r="J131" s="465">
        <v>80</v>
      </c>
      <c r="K131" s="465">
        <v>-0.5</v>
      </c>
      <c r="L131" s="466" t="s">
        <v>243</v>
      </c>
      <c r="M131" s="462"/>
      <c r="N131" s="460">
        <f t="shared" si="34"/>
        <v>0</v>
      </c>
      <c r="P131" s="459">
        <v>6</v>
      </c>
      <c r="Q131" s="465">
        <v>1005</v>
      </c>
      <c r="R131" s="466">
        <v>-0.8</v>
      </c>
      <c r="S131" s="466" t="s">
        <v>243</v>
      </c>
      <c r="T131" s="462"/>
      <c r="U131" s="460">
        <f t="shared" si="35"/>
        <v>0</v>
      </c>
    </row>
    <row r="132" spans="1:24" ht="13" x14ac:dyDescent="0.25">
      <c r="A132" s="1033"/>
      <c r="B132" s="459">
        <v>7</v>
      </c>
      <c r="C132" s="472">
        <v>40</v>
      </c>
      <c r="D132" s="465">
        <v>-0.4</v>
      </c>
      <c r="E132" s="466" t="s">
        <v>243</v>
      </c>
      <c r="F132" s="462"/>
      <c r="G132" s="460">
        <f t="shared" si="33"/>
        <v>0</v>
      </c>
      <c r="I132" s="459">
        <v>7</v>
      </c>
      <c r="J132" s="472">
        <v>90</v>
      </c>
      <c r="K132" s="465">
        <v>-0.9</v>
      </c>
      <c r="L132" s="466" t="s">
        <v>243</v>
      </c>
      <c r="M132" s="462"/>
      <c r="N132" s="460">
        <f t="shared" si="34"/>
        <v>0</v>
      </c>
      <c r="P132" s="459">
        <v>7</v>
      </c>
      <c r="Q132" s="465">
        <v>1020</v>
      </c>
      <c r="R132" s="466">
        <v>9.9999999999999995E-7</v>
      </c>
      <c r="S132" s="466" t="s">
        <v>243</v>
      </c>
      <c r="T132" s="462"/>
      <c r="U132" s="460">
        <f t="shared" si="35"/>
        <v>0</v>
      </c>
    </row>
    <row r="133" spans="1:24" ht="13" thickBot="1" x14ac:dyDescent="0.3">
      <c r="A133" s="473"/>
      <c r="C133" s="474"/>
      <c r="D133" s="452"/>
      <c r="E133" s="475"/>
      <c r="F133" s="474"/>
      <c r="I133" s="474"/>
      <c r="J133" s="452"/>
      <c r="K133" s="475"/>
      <c r="L133" s="474"/>
      <c r="O133" s="452"/>
      <c r="P133" s="475"/>
      <c r="Q133" s="475"/>
      <c r="R133" s="474"/>
    </row>
    <row r="134" spans="1:24" x14ac:dyDescent="0.25">
      <c r="A134" s="1033">
        <v>13</v>
      </c>
      <c r="B134" s="1034" t="s">
        <v>289</v>
      </c>
      <c r="C134" s="1034"/>
      <c r="D134" s="1034"/>
      <c r="E134" s="1034"/>
      <c r="F134" s="1034"/>
      <c r="G134" s="1034"/>
      <c r="I134" s="1034" t="str">
        <f>B134</f>
        <v>KOREKSI EXTECH A.100605</v>
      </c>
      <c r="J134" s="1034"/>
      <c r="K134" s="1034"/>
      <c r="L134" s="1034"/>
      <c r="M134" s="1034"/>
      <c r="N134" s="1034"/>
      <c r="P134" s="1034" t="str">
        <f>I134</f>
        <v>KOREKSI EXTECH A.100605</v>
      </c>
      <c r="Q134" s="1034"/>
      <c r="R134" s="1034"/>
      <c r="S134" s="1034"/>
      <c r="T134" s="1034"/>
      <c r="U134" s="1034"/>
      <c r="W134" s="1028" t="s">
        <v>222</v>
      </c>
      <c r="X134" s="1029"/>
    </row>
    <row r="135" spans="1:24" ht="13" x14ac:dyDescent="0.25">
      <c r="A135" s="1033"/>
      <c r="B135" s="1030" t="s">
        <v>270</v>
      </c>
      <c r="C135" s="1030"/>
      <c r="D135" s="1030" t="s">
        <v>271</v>
      </c>
      <c r="E135" s="1030"/>
      <c r="F135" s="1030"/>
      <c r="G135" s="1030" t="s">
        <v>272</v>
      </c>
      <c r="I135" s="1030" t="s">
        <v>273</v>
      </c>
      <c r="J135" s="1030"/>
      <c r="K135" s="1030" t="s">
        <v>271</v>
      </c>
      <c r="L135" s="1030"/>
      <c r="M135" s="1030"/>
      <c r="N135" s="1030" t="s">
        <v>272</v>
      </c>
      <c r="P135" s="1030" t="s">
        <v>274</v>
      </c>
      <c r="Q135" s="1030"/>
      <c r="R135" s="1030" t="s">
        <v>271</v>
      </c>
      <c r="S135" s="1030"/>
      <c r="T135" s="1030"/>
      <c r="U135" s="1030" t="s">
        <v>272</v>
      </c>
      <c r="W135" s="457" t="s">
        <v>270</v>
      </c>
      <c r="X135" s="458">
        <v>0.5</v>
      </c>
    </row>
    <row r="136" spans="1:24" ht="14.5" x14ac:dyDescent="0.25">
      <c r="A136" s="1033"/>
      <c r="B136" s="1031" t="s">
        <v>275</v>
      </c>
      <c r="C136" s="1031"/>
      <c r="D136" s="476">
        <v>2022</v>
      </c>
      <c r="E136" s="438">
        <v>2020</v>
      </c>
      <c r="F136" s="440" t="s">
        <v>243</v>
      </c>
      <c r="G136" s="1030"/>
      <c r="I136" s="1032" t="s">
        <v>276</v>
      </c>
      <c r="J136" s="1031"/>
      <c r="K136" s="476">
        <v>2022</v>
      </c>
      <c r="L136" s="471">
        <f>E136</f>
        <v>2020</v>
      </c>
      <c r="M136" s="471" t="str">
        <f>F136</f>
        <v>-</v>
      </c>
      <c r="N136" s="1030"/>
      <c r="P136" s="1032" t="s">
        <v>277</v>
      </c>
      <c r="Q136" s="1031"/>
      <c r="R136" s="477">
        <v>2022</v>
      </c>
      <c r="S136" s="471">
        <f>L136</f>
        <v>2020</v>
      </c>
      <c r="T136" s="471" t="str">
        <f>M136</f>
        <v>-</v>
      </c>
      <c r="U136" s="1030"/>
      <c r="W136" s="457" t="s">
        <v>276</v>
      </c>
      <c r="X136" s="458">
        <v>2.2999999999999998</v>
      </c>
    </row>
    <row r="137" spans="1:24" ht="13.5" thickBot="1" x14ac:dyDescent="0.3">
      <c r="A137" s="1033"/>
      <c r="B137" s="459">
        <v>1</v>
      </c>
      <c r="C137" s="36">
        <v>15</v>
      </c>
      <c r="D137" s="36">
        <v>0.5</v>
      </c>
      <c r="E137" s="36">
        <v>-0.7</v>
      </c>
      <c r="F137" s="32" t="s">
        <v>243</v>
      </c>
      <c r="G137" s="460">
        <f t="shared" ref="G137:G143" si="36">0.5*(MAX(E137:F137)-MIN(E137:F137))</f>
        <v>0</v>
      </c>
      <c r="I137" s="459">
        <v>1</v>
      </c>
      <c r="J137" s="36">
        <v>30</v>
      </c>
      <c r="K137" s="36">
        <v>-2.2000000000000002</v>
      </c>
      <c r="L137" s="36">
        <v>-1.4</v>
      </c>
      <c r="M137" s="32" t="s">
        <v>243</v>
      </c>
      <c r="N137" s="460">
        <f t="shared" ref="N137:N143" si="37">0.5*(MAX(L137:M137)-MIN(L137:M137))</f>
        <v>0</v>
      </c>
      <c r="P137" s="459">
        <v>1</v>
      </c>
      <c r="Q137" s="36">
        <v>960</v>
      </c>
      <c r="R137" s="36">
        <f>MAX(R138:R143)</f>
        <v>4</v>
      </c>
      <c r="S137" s="31">
        <v>0.9</v>
      </c>
      <c r="T137" s="32" t="s">
        <v>243</v>
      </c>
      <c r="U137" s="460">
        <f t="shared" ref="U137:U143" si="38">0.5*(MAX(S137:T137)-MIN(S137:T137))</f>
        <v>0</v>
      </c>
      <c r="W137" s="463" t="s">
        <v>277</v>
      </c>
      <c r="X137" s="464">
        <v>2.4</v>
      </c>
    </row>
    <row r="138" spans="1:24" ht="13" x14ac:dyDescent="0.25">
      <c r="A138" s="1033"/>
      <c r="B138" s="459">
        <v>2</v>
      </c>
      <c r="C138" s="36">
        <v>20</v>
      </c>
      <c r="D138" s="36">
        <v>0.2</v>
      </c>
      <c r="E138" s="36">
        <v>-0.4</v>
      </c>
      <c r="F138" s="32" t="s">
        <v>243</v>
      </c>
      <c r="G138" s="460">
        <f t="shared" si="36"/>
        <v>0</v>
      </c>
      <c r="I138" s="459">
        <v>2</v>
      </c>
      <c r="J138" s="36">
        <v>40</v>
      </c>
      <c r="K138" s="36">
        <v>-2</v>
      </c>
      <c r="L138" s="36">
        <v>-1.3</v>
      </c>
      <c r="M138" s="32" t="s">
        <v>243</v>
      </c>
      <c r="N138" s="460">
        <f t="shared" si="37"/>
        <v>0</v>
      </c>
      <c r="P138" s="459">
        <v>2</v>
      </c>
      <c r="Q138" s="36">
        <v>970</v>
      </c>
      <c r="R138" s="36">
        <v>4</v>
      </c>
      <c r="S138" s="31">
        <v>1</v>
      </c>
      <c r="T138" s="32" t="s">
        <v>243</v>
      </c>
      <c r="U138" s="460">
        <f t="shared" si="38"/>
        <v>0</v>
      </c>
    </row>
    <row r="139" spans="1:24" ht="13" x14ac:dyDescent="0.25">
      <c r="A139" s="1033"/>
      <c r="B139" s="459">
        <v>3</v>
      </c>
      <c r="C139" s="36">
        <v>25</v>
      </c>
      <c r="D139" s="36">
        <v>0.1</v>
      </c>
      <c r="E139" s="36">
        <v>-0.2</v>
      </c>
      <c r="F139" s="32" t="s">
        <v>243</v>
      </c>
      <c r="G139" s="460">
        <f t="shared" si="36"/>
        <v>0</v>
      </c>
      <c r="I139" s="459">
        <v>3</v>
      </c>
      <c r="J139" s="36">
        <v>50</v>
      </c>
      <c r="K139" s="36">
        <v>-1.8</v>
      </c>
      <c r="L139" s="36">
        <v>-1.3</v>
      </c>
      <c r="M139" s="32" t="s">
        <v>243</v>
      </c>
      <c r="N139" s="460">
        <f t="shared" si="37"/>
        <v>0</v>
      </c>
      <c r="P139" s="459">
        <v>3</v>
      </c>
      <c r="Q139" s="465">
        <v>980</v>
      </c>
      <c r="R139" s="36">
        <v>3.9</v>
      </c>
      <c r="S139" s="466">
        <v>1</v>
      </c>
      <c r="T139" s="32" t="s">
        <v>243</v>
      </c>
      <c r="U139" s="460">
        <f t="shared" si="38"/>
        <v>0</v>
      </c>
    </row>
    <row r="140" spans="1:24" ht="13" x14ac:dyDescent="0.25">
      <c r="A140" s="1033"/>
      <c r="B140" s="459">
        <v>4</v>
      </c>
      <c r="C140" s="465">
        <v>30</v>
      </c>
      <c r="D140" s="36">
        <v>-0.1</v>
      </c>
      <c r="E140" s="465">
        <v>0.1</v>
      </c>
      <c r="F140" s="466" t="s">
        <v>243</v>
      </c>
      <c r="G140" s="460">
        <f t="shared" si="36"/>
        <v>0</v>
      </c>
      <c r="I140" s="459">
        <v>4</v>
      </c>
      <c r="J140" s="465">
        <v>60</v>
      </c>
      <c r="K140" s="36">
        <v>-1.6</v>
      </c>
      <c r="L140" s="465">
        <v>-1.5</v>
      </c>
      <c r="M140" s="466" t="s">
        <v>243</v>
      </c>
      <c r="N140" s="460">
        <f t="shared" si="37"/>
        <v>0</v>
      </c>
      <c r="P140" s="459">
        <v>4</v>
      </c>
      <c r="Q140" s="465">
        <v>990</v>
      </c>
      <c r="R140" s="36">
        <v>3.8</v>
      </c>
      <c r="S140" s="466">
        <v>1.1000000000000001</v>
      </c>
      <c r="T140" s="466" t="s">
        <v>243</v>
      </c>
      <c r="U140" s="460">
        <f t="shared" si="38"/>
        <v>0</v>
      </c>
    </row>
    <row r="141" spans="1:24" ht="13" x14ac:dyDescent="0.25">
      <c r="A141" s="1033"/>
      <c r="B141" s="459">
        <v>5</v>
      </c>
      <c r="C141" s="465">
        <v>35</v>
      </c>
      <c r="D141" s="36">
        <v>-0.2</v>
      </c>
      <c r="E141" s="465">
        <v>0.3</v>
      </c>
      <c r="F141" s="466" t="s">
        <v>243</v>
      </c>
      <c r="G141" s="460">
        <f t="shared" si="36"/>
        <v>0</v>
      </c>
      <c r="I141" s="459">
        <v>5</v>
      </c>
      <c r="J141" s="465">
        <v>70</v>
      </c>
      <c r="K141" s="36">
        <v>-1.4</v>
      </c>
      <c r="L141" s="465">
        <v>-1.9</v>
      </c>
      <c r="M141" s="466" t="s">
        <v>243</v>
      </c>
      <c r="N141" s="460">
        <f t="shared" si="37"/>
        <v>0</v>
      </c>
      <c r="P141" s="459">
        <v>5</v>
      </c>
      <c r="Q141" s="465">
        <v>1000</v>
      </c>
      <c r="R141" s="36">
        <v>3.7</v>
      </c>
      <c r="S141" s="466">
        <v>1.1000000000000001</v>
      </c>
      <c r="T141" s="466" t="s">
        <v>243</v>
      </c>
      <c r="U141" s="460">
        <f t="shared" si="38"/>
        <v>0</v>
      </c>
    </row>
    <row r="142" spans="1:24" ht="13" x14ac:dyDescent="0.25">
      <c r="A142" s="1033"/>
      <c r="B142" s="459">
        <v>6</v>
      </c>
      <c r="C142" s="465">
        <v>37</v>
      </c>
      <c r="D142" s="36">
        <v>-0.2</v>
      </c>
      <c r="E142" s="465">
        <v>0.4</v>
      </c>
      <c r="F142" s="466" t="s">
        <v>243</v>
      </c>
      <c r="G142" s="460">
        <f t="shared" si="36"/>
        <v>0</v>
      </c>
      <c r="I142" s="459">
        <v>6</v>
      </c>
      <c r="J142" s="465">
        <v>80</v>
      </c>
      <c r="K142" s="36">
        <v>-1.2</v>
      </c>
      <c r="L142" s="465">
        <v>-2.5</v>
      </c>
      <c r="M142" s="466" t="s">
        <v>243</v>
      </c>
      <c r="N142" s="460">
        <f t="shared" si="37"/>
        <v>0</v>
      </c>
      <c r="P142" s="459">
        <v>6</v>
      </c>
      <c r="Q142" s="465">
        <v>1005</v>
      </c>
      <c r="R142" s="36">
        <v>3.6</v>
      </c>
      <c r="S142" s="466">
        <v>1.1000000000000001</v>
      </c>
      <c r="T142" s="466" t="s">
        <v>243</v>
      </c>
      <c r="U142" s="460">
        <f t="shared" si="38"/>
        <v>0</v>
      </c>
    </row>
    <row r="143" spans="1:24" ht="13" x14ac:dyDescent="0.25">
      <c r="A143" s="1033"/>
      <c r="B143" s="459">
        <v>7</v>
      </c>
      <c r="C143" s="472">
        <v>40</v>
      </c>
      <c r="D143" s="36">
        <v>-0.2</v>
      </c>
      <c r="E143" s="465">
        <v>0.5</v>
      </c>
      <c r="F143" s="466" t="s">
        <v>243</v>
      </c>
      <c r="G143" s="460">
        <f t="shared" si="36"/>
        <v>0</v>
      </c>
      <c r="I143" s="459">
        <v>7</v>
      </c>
      <c r="J143" s="472">
        <v>90</v>
      </c>
      <c r="K143" s="36">
        <v>-1</v>
      </c>
      <c r="L143" s="465">
        <v>-3.2</v>
      </c>
      <c r="M143" s="466" t="s">
        <v>243</v>
      </c>
      <c r="N143" s="460">
        <f t="shared" si="37"/>
        <v>0</v>
      </c>
      <c r="P143" s="459">
        <v>7</v>
      </c>
      <c r="Q143" s="465">
        <v>1010</v>
      </c>
      <c r="R143" s="36">
        <v>3.5</v>
      </c>
      <c r="S143" s="465">
        <f>MAX(S137:S142)</f>
        <v>1.1000000000000001</v>
      </c>
      <c r="T143" s="466" t="s">
        <v>243</v>
      </c>
      <c r="U143" s="460">
        <f t="shared" si="38"/>
        <v>0</v>
      </c>
    </row>
    <row r="144" spans="1:24" ht="13" thickBot="1" x14ac:dyDescent="0.3">
      <c r="A144" s="473"/>
      <c r="C144" s="474"/>
      <c r="D144" s="452"/>
      <c r="E144" s="475"/>
      <c r="F144" s="474"/>
      <c r="J144" s="474"/>
      <c r="K144" s="452"/>
      <c r="L144" s="475"/>
      <c r="M144" s="474"/>
      <c r="Q144" s="452"/>
      <c r="R144" s="475"/>
      <c r="S144" s="475"/>
      <c r="T144" s="474"/>
    </row>
    <row r="145" spans="1:24" x14ac:dyDescent="0.25">
      <c r="A145" s="1033">
        <v>14</v>
      </c>
      <c r="B145" s="1034" t="s">
        <v>290</v>
      </c>
      <c r="C145" s="1034"/>
      <c r="D145" s="1034"/>
      <c r="E145" s="1034"/>
      <c r="F145" s="1034"/>
      <c r="G145" s="1034"/>
      <c r="I145" s="1034" t="str">
        <f>B145</f>
        <v>KOREKSI EXTECH A.100609</v>
      </c>
      <c r="J145" s="1034"/>
      <c r="K145" s="1034"/>
      <c r="L145" s="1034"/>
      <c r="M145" s="1034"/>
      <c r="N145" s="1034"/>
      <c r="P145" s="1034" t="str">
        <f>I145</f>
        <v>KOREKSI EXTECH A.100609</v>
      </c>
      <c r="Q145" s="1034"/>
      <c r="R145" s="1034"/>
      <c r="S145" s="1034"/>
      <c r="T145" s="1034"/>
      <c r="U145" s="1034"/>
      <c r="W145" s="1028" t="s">
        <v>222</v>
      </c>
      <c r="X145" s="1029"/>
    </row>
    <row r="146" spans="1:24" ht="13" x14ac:dyDescent="0.25">
      <c r="A146" s="1033"/>
      <c r="B146" s="1030" t="s">
        <v>270</v>
      </c>
      <c r="C146" s="1030"/>
      <c r="D146" s="1030" t="s">
        <v>271</v>
      </c>
      <c r="E146" s="1030"/>
      <c r="F146" s="1030"/>
      <c r="G146" s="1030" t="s">
        <v>272</v>
      </c>
      <c r="I146" s="1030" t="s">
        <v>273</v>
      </c>
      <c r="J146" s="1030"/>
      <c r="K146" s="1030" t="s">
        <v>271</v>
      </c>
      <c r="L146" s="1030"/>
      <c r="M146" s="1030"/>
      <c r="N146" s="1030" t="s">
        <v>272</v>
      </c>
      <c r="P146" s="1030" t="s">
        <v>274</v>
      </c>
      <c r="Q146" s="1030"/>
      <c r="R146" s="1030" t="s">
        <v>271</v>
      </c>
      <c r="S146" s="1030"/>
      <c r="T146" s="1030"/>
      <c r="U146" s="1030" t="s">
        <v>272</v>
      </c>
      <c r="W146" s="457" t="s">
        <v>270</v>
      </c>
      <c r="X146" s="458">
        <v>0.5</v>
      </c>
    </row>
    <row r="147" spans="1:24" ht="14.5" x14ac:dyDescent="0.25">
      <c r="A147" s="1033"/>
      <c r="B147" s="1031" t="s">
        <v>275</v>
      </c>
      <c r="C147" s="1031"/>
      <c r="D147" s="476">
        <v>2022</v>
      </c>
      <c r="E147" s="438">
        <v>2020</v>
      </c>
      <c r="F147" s="440" t="s">
        <v>243</v>
      </c>
      <c r="G147" s="1030"/>
      <c r="I147" s="1032" t="s">
        <v>276</v>
      </c>
      <c r="J147" s="1031"/>
      <c r="K147" s="476">
        <v>2022</v>
      </c>
      <c r="L147" s="471">
        <f>E147</f>
        <v>2020</v>
      </c>
      <c r="M147" s="471" t="str">
        <f>F147</f>
        <v>-</v>
      </c>
      <c r="N147" s="1030"/>
      <c r="P147" s="1032" t="s">
        <v>277</v>
      </c>
      <c r="Q147" s="1031"/>
      <c r="R147" s="476">
        <v>2022</v>
      </c>
      <c r="S147" s="471">
        <f>L147</f>
        <v>2020</v>
      </c>
      <c r="T147" s="471" t="str">
        <f>M147</f>
        <v>-</v>
      </c>
      <c r="U147" s="1030"/>
      <c r="W147" s="457" t="s">
        <v>276</v>
      </c>
      <c r="X147" s="458">
        <v>2.7</v>
      </c>
    </row>
    <row r="148" spans="1:24" ht="13.5" thickBot="1" x14ac:dyDescent="0.3">
      <c r="A148" s="1033"/>
      <c r="B148" s="459">
        <v>1</v>
      </c>
      <c r="C148" s="36">
        <v>15</v>
      </c>
      <c r="D148" s="36">
        <v>0.5</v>
      </c>
      <c r="E148" s="36">
        <v>-0.2</v>
      </c>
      <c r="F148" s="32" t="s">
        <v>243</v>
      </c>
      <c r="G148" s="460">
        <f t="shared" ref="G148:G154" si="39">0.5*(MAX(E148:F148)-MIN(E148:F148))</f>
        <v>0</v>
      </c>
      <c r="I148" s="459">
        <v>1</v>
      </c>
      <c r="J148" s="36">
        <v>30</v>
      </c>
      <c r="K148" s="36">
        <v>-0.8</v>
      </c>
      <c r="L148" s="36">
        <v>0.6</v>
      </c>
      <c r="M148" s="32" t="s">
        <v>243</v>
      </c>
      <c r="N148" s="460">
        <f t="shared" ref="N148:N154" si="40">0.5*(MAX(L148:M148)-MIN(L148:M148))</f>
        <v>0</v>
      </c>
      <c r="P148" s="459">
        <v>1</v>
      </c>
      <c r="Q148" s="36">
        <v>960</v>
      </c>
      <c r="R148" s="36">
        <f>MAX(R149:R154)</f>
        <v>4</v>
      </c>
      <c r="S148" s="31">
        <v>0.9</v>
      </c>
      <c r="T148" s="32" t="s">
        <v>243</v>
      </c>
      <c r="U148" s="460">
        <f t="shared" ref="U148:U154" si="41">0.5*(MAX(S148:T148)-MIN(S148:T148))</f>
        <v>0</v>
      </c>
      <c r="W148" s="463" t="s">
        <v>277</v>
      </c>
      <c r="X148" s="464">
        <v>2.4</v>
      </c>
    </row>
    <row r="149" spans="1:24" ht="13" x14ac:dyDescent="0.25">
      <c r="A149" s="1033"/>
      <c r="B149" s="459">
        <v>2</v>
      </c>
      <c r="C149" s="36">
        <v>20</v>
      </c>
      <c r="D149" s="36">
        <v>0.2</v>
      </c>
      <c r="E149" s="36">
        <v>-0.1</v>
      </c>
      <c r="F149" s="32" t="s">
        <v>243</v>
      </c>
      <c r="G149" s="460">
        <f t="shared" si="39"/>
        <v>0</v>
      </c>
      <c r="I149" s="459">
        <v>2</v>
      </c>
      <c r="J149" s="36">
        <v>40</v>
      </c>
      <c r="K149" s="36">
        <v>-0.4</v>
      </c>
      <c r="L149" s="36">
        <v>0.3</v>
      </c>
      <c r="M149" s="32" t="s">
        <v>243</v>
      </c>
      <c r="N149" s="460">
        <f t="shared" si="40"/>
        <v>0</v>
      </c>
      <c r="P149" s="459">
        <v>2</v>
      </c>
      <c r="Q149" s="36">
        <v>970</v>
      </c>
      <c r="R149" s="36">
        <v>4</v>
      </c>
      <c r="S149" s="31">
        <v>1</v>
      </c>
      <c r="T149" s="32" t="s">
        <v>243</v>
      </c>
      <c r="U149" s="460">
        <f t="shared" si="41"/>
        <v>0</v>
      </c>
    </row>
    <row r="150" spans="1:24" ht="13" x14ac:dyDescent="0.25">
      <c r="A150" s="1033"/>
      <c r="B150" s="459">
        <v>3</v>
      </c>
      <c r="C150" s="36">
        <v>25</v>
      </c>
      <c r="D150" s="36">
        <v>-0.1</v>
      </c>
      <c r="E150" s="36">
        <v>-0.1</v>
      </c>
      <c r="F150" s="32" t="s">
        <v>243</v>
      </c>
      <c r="G150" s="460">
        <f t="shared" si="39"/>
        <v>0</v>
      </c>
      <c r="I150" s="459">
        <v>3</v>
      </c>
      <c r="J150" s="36">
        <v>50</v>
      </c>
      <c r="K150" s="36">
        <v>0</v>
      </c>
      <c r="L150" s="36">
        <v>-0.2</v>
      </c>
      <c r="M150" s="32" t="s">
        <v>243</v>
      </c>
      <c r="N150" s="460">
        <f t="shared" si="40"/>
        <v>0</v>
      </c>
      <c r="P150" s="459">
        <v>3</v>
      </c>
      <c r="Q150" s="465">
        <v>980</v>
      </c>
      <c r="R150" s="36">
        <v>3.9</v>
      </c>
      <c r="S150" s="466">
        <v>1</v>
      </c>
      <c r="T150" s="32" t="s">
        <v>243</v>
      </c>
      <c r="U150" s="460">
        <f t="shared" si="41"/>
        <v>0</v>
      </c>
    </row>
    <row r="151" spans="1:24" ht="13" x14ac:dyDescent="0.25">
      <c r="A151" s="1033"/>
      <c r="B151" s="459">
        <v>4</v>
      </c>
      <c r="C151" s="465">
        <v>30</v>
      </c>
      <c r="D151" s="36">
        <v>-0.4</v>
      </c>
      <c r="E151" s="465">
        <v>-0.3</v>
      </c>
      <c r="F151" s="466" t="s">
        <v>243</v>
      </c>
      <c r="G151" s="460">
        <f t="shared" si="39"/>
        <v>0</v>
      </c>
      <c r="I151" s="459">
        <v>4</v>
      </c>
      <c r="J151" s="465">
        <v>60</v>
      </c>
      <c r="K151" s="36">
        <v>0.3</v>
      </c>
      <c r="L151" s="465">
        <v>-0.6</v>
      </c>
      <c r="M151" s="466" t="s">
        <v>243</v>
      </c>
      <c r="N151" s="460">
        <f t="shared" si="40"/>
        <v>0</v>
      </c>
      <c r="P151" s="459">
        <v>4</v>
      </c>
      <c r="Q151" s="465">
        <v>990</v>
      </c>
      <c r="R151" s="36">
        <v>3.9</v>
      </c>
      <c r="S151" s="466">
        <v>1.1000000000000001</v>
      </c>
      <c r="T151" s="466" t="s">
        <v>243</v>
      </c>
      <c r="U151" s="460">
        <f t="shared" si="41"/>
        <v>0</v>
      </c>
    </row>
    <row r="152" spans="1:24" ht="13" x14ac:dyDescent="0.25">
      <c r="A152" s="1033"/>
      <c r="B152" s="459">
        <v>5</v>
      </c>
      <c r="C152" s="465">
        <v>35</v>
      </c>
      <c r="D152" s="36">
        <v>-0.6</v>
      </c>
      <c r="E152" s="465">
        <v>-0.6</v>
      </c>
      <c r="F152" s="466" t="s">
        <v>243</v>
      </c>
      <c r="G152" s="460">
        <f t="shared" si="39"/>
        <v>0</v>
      </c>
      <c r="I152" s="459">
        <v>5</v>
      </c>
      <c r="J152" s="465">
        <v>70</v>
      </c>
      <c r="K152" s="36">
        <v>0.7</v>
      </c>
      <c r="L152" s="465">
        <v>-0.8</v>
      </c>
      <c r="M152" s="466" t="s">
        <v>243</v>
      </c>
      <c r="N152" s="460">
        <f t="shared" si="40"/>
        <v>0</v>
      </c>
      <c r="P152" s="459">
        <v>5</v>
      </c>
      <c r="Q152" s="465">
        <v>1000</v>
      </c>
      <c r="R152" s="36">
        <v>3.8</v>
      </c>
      <c r="S152" s="466">
        <v>1.1000000000000001</v>
      </c>
      <c r="T152" s="466" t="s">
        <v>243</v>
      </c>
      <c r="U152" s="460">
        <f t="shared" si="41"/>
        <v>0</v>
      </c>
    </row>
    <row r="153" spans="1:24" ht="13" x14ac:dyDescent="0.25">
      <c r="A153" s="1033"/>
      <c r="B153" s="459">
        <v>6</v>
      </c>
      <c r="C153" s="465">
        <v>37</v>
      </c>
      <c r="D153" s="36">
        <v>-0.7</v>
      </c>
      <c r="E153" s="465">
        <v>-0.8</v>
      </c>
      <c r="F153" s="466" t="s">
        <v>243</v>
      </c>
      <c r="G153" s="460">
        <f t="shared" si="39"/>
        <v>0</v>
      </c>
      <c r="I153" s="459">
        <v>6</v>
      </c>
      <c r="J153" s="465">
        <v>80</v>
      </c>
      <c r="K153" s="36">
        <v>1.1000000000000001</v>
      </c>
      <c r="L153" s="465">
        <v>-0.9</v>
      </c>
      <c r="M153" s="466" t="s">
        <v>243</v>
      </c>
      <c r="N153" s="460">
        <f t="shared" si="40"/>
        <v>0</v>
      </c>
      <c r="P153" s="459">
        <v>6</v>
      </c>
      <c r="Q153" s="465">
        <v>1005</v>
      </c>
      <c r="R153" s="36">
        <v>3.8</v>
      </c>
      <c r="S153" s="466">
        <v>1.1000000000000001</v>
      </c>
      <c r="T153" s="466" t="s">
        <v>243</v>
      </c>
      <c r="U153" s="460">
        <f t="shared" si="41"/>
        <v>0</v>
      </c>
    </row>
    <row r="154" spans="1:24" ht="13" x14ac:dyDescent="0.25">
      <c r="A154" s="1033"/>
      <c r="B154" s="459">
        <v>7</v>
      </c>
      <c r="C154" s="472">
        <v>40</v>
      </c>
      <c r="D154" s="36">
        <v>-0.8</v>
      </c>
      <c r="E154" s="465">
        <v>-1.1000000000000001</v>
      </c>
      <c r="F154" s="466" t="s">
        <v>243</v>
      </c>
      <c r="G154" s="460">
        <f t="shared" si="39"/>
        <v>0</v>
      </c>
      <c r="I154" s="459">
        <v>7</v>
      </c>
      <c r="J154" s="472">
        <v>90</v>
      </c>
      <c r="K154" s="36">
        <v>1.5</v>
      </c>
      <c r="L154" s="465">
        <v>-0.8</v>
      </c>
      <c r="M154" s="466" t="s">
        <v>243</v>
      </c>
      <c r="N154" s="460">
        <f t="shared" si="40"/>
        <v>0</v>
      </c>
      <c r="P154" s="459">
        <v>7</v>
      </c>
      <c r="Q154" s="465">
        <v>1010</v>
      </c>
      <c r="R154" s="36">
        <v>3.7</v>
      </c>
      <c r="S154" s="466">
        <v>9.9999999999999995E-7</v>
      </c>
      <c r="T154" s="466" t="s">
        <v>243</v>
      </c>
      <c r="U154" s="460">
        <f t="shared" si="41"/>
        <v>0</v>
      </c>
    </row>
    <row r="155" spans="1:24" ht="13" thickBot="1" x14ac:dyDescent="0.3">
      <c r="A155" s="473"/>
      <c r="C155" s="474"/>
      <c r="D155" s="452"/>
      <c r="E155" s="475"/>
      <c r="F155" s="474"/>
      <c r="J155" s="474"/>
      <c r="K155" s="452"/>
      <c r="L155" s="475"/>
      <c r="M155" s="474"/>
      <c r="Q155" s="452"/>
      <c r="R155" s="475"/>
      <c r="S155" s="475"/>
      <c r="T155" s="474"/>
    </row>
    <row r="156" spans="1:24" x14ac:dyDescent="0.25">
      <c r="A156" s="1033">
        <v>15</v>
      </c>
      <c r="B156" s="1034" t="s">
        <v>291</v>
      </c>
      <c r="C156" s="1034"/>
      <c r="D156" s="1034"/>
      <c r="E156" s="1034"/>
      <c r="F156" s="1034"/>
      <c r="G156" s="1034"/>
      <c r="I156" s="1034" t="str">
        <f>B156</f>
        <v>KOREKSI EXTECH A.100611</v>
      </c>
      <c r="J156" s="1034"/>
      <c r="K156" s="1034"/>
      <c r="L156" s="1034"/>
      <c r="M156" s="1034"/>
      <c r="N156" s="1034"/>
      <c r="P156" s="1034" t="str">
        <f>I156</f>
        <v>KOREKSI EXTECH A.100611</v>
      </c>
      <c r="Q156" s="1034"/>
      <c r="R156" s="1034"/>
      <c r="S156" s="1034"/>
      <c r="T156" s="1034"/>
      <c r="U156" s="1034"/>
      <c r="W156" s="1028" t="s">
        <v>222</v>
      </c>
      <c r="X156" s="1029"/>
    </row>
    <row r="157" spans="1:24" ht="13" x14ac:dyDescent="0.25">
      <c r="A157" s="1033"/>
      <c r="B157" s="1030" t="s">
        <v>270</v>
      </c>
      <c r="C157" s="1030"/>
      <c r="D157" s="1030" t="s">
        <v>271</v>
      </c>
      <c r="E157" s="1030"/>
      <c r="F157" s="1030"/>
      <c r="G157" s="1030" t="s">
        <v>272</v>
      </c>
      <c r="I157" s="1030" t="s">
        <v>273</v>
      </c>
      <c r="J157" s="1030"/>
      <c r="K157" s="1030" t="s">
        <v>271</v>
      </c>
      <c r="L157" s="1030"/>
      <c r="M157" s="1030"/>
      <c r="N157" s="1030" t="s">
        <v>272</v>
      </c>
      <c r="P157" s="1030" t="s">
        <v>274</v>
      </c>
      <c r="Q157" s="1030"/>
      <c r="R157" s="1030" t="s">
        <v>271</v>
      </c>
      <c r="S157" s="1030"/>
      <c r="T157" s="1030"/>
      <c r="U157" s="1030" t="s">
        <v>272</v>
      </c>
      <c r="W157" s="457" t="s">
        <v>270</v>
      </c>
      <c r="X157" s="458">
        <v>0.5</v>
      </c>
    </row>
    <row r="158" spans="1:24" ht="14.5" x14ac:dyDescent="0.25">
      <c r="A158" s="1033"/>
      <c r="B158" s="1031" t="s">
        <v>275</v>
      </c>
      <c r="C158" s="1031"/>
      <c r="D158" s="476">
        <v>2022</v>
      </c>
      <c r="E158" s="438">
        <v>2020</v>
      </c>
      <c r="F158" s="440" t="s">
        <v>243</v>
      </c>
      <c r="G158" s="1030"/>
      <c r="I158" s="1032" t="s">
        <v>276</v>
      </c>
      <c r="J158" s="1031"/>
      <c r="K158" s="476">
        <v>2022</v>
      </c>
      <c r="L158" s="471">
        <f>E158</f>
        <v>2020</v>
      </c>
      <c r="M158" s="471" t="str">
        <f>F158</f>
        <v>-</v>
      </c>
      <c r="N158" s="1030"/>
      <c r="P158" s="1032" t="s">
        <v>277</v>
      </c>
      <c r="Q158" s="1031"/>
      <c r="R158" s="476">
        <v>2022</v>
      </c>
      <c r="S158" s="471">
        <f>L158</f>
        <v>2020</v>
      </c>
      <c r="T158" s="471" t="str">
        <f>M158</f>
        <v>-</v>
      </c>
      <c r="U158" s="1030"/>
      <c r="W158" s="457" t="s">
        <v>276</v>
      </c>
      <c r="X158" s="458">
        <v>2.6</v>
      </c>
    </row>
    <row r="159" spans="1:24" ht="13.5" thickBot="1" x14ac:dyDescent="0.3">
      <c r="A159" s="1033"/>
      <c r="B159" s="459">
        <v>1</v>
      </c>
      <c r="C159" s="36">
        <v>15</v>
      </c>
      <c r="D159" s="36">
        <v>0.6</v>
      </c>
      <c r="E159" s="36">
        <v>-0.6</v>
      </c>
      <c r="F159" s="32" t="s">
        <v>243</v>
      </c>
      <c r="G159" s="460">
        <f t="shared" ref="G159:G165" si="42">0.5*(MAX(E159:F159)-MIN(E159:F159))</f>
        <v>0</v>
      </c>
      <c r="I159" s="459">
        <v>1</v>
      </c>
      <c r="J159" s="36">
        <v>30</v>
      </c>
      <c r="K159" s="36">
        <v>-2</v>
      </c>
      <c r="L159" s="36">
        <v>-0.4</v>
      </c>
      <c r="M159" s="32" t="s">
        <v>243</v>
      </c>
      <c r="N159" s="460">
        <f t="shared" ref="N159:N165" si="43">0.5*(MAX(L159:M159)-MIN(L159:M159))</f>
        <v>0</v>
      </c>
      <c r="P159" s="459">
        <v>1</v>
      </c>
      <c r="Q159" s="36">
        <v>960</v>
      </c>
      <c r="R159" s="36">
        <f>MAX(R160:R165)</f>
        <v>4.5</v>
      </c>
      <c r="S159" s="31">
        <v>0.9</v>
      </c>
      <c r="T159" s="32" t="s">
        <v>243</v>
      </c>
      <c r="U159" s="460">
        <f t="shared" ref="U159:U165" si="44">0.5*(MAX(S159:T159)-MIN(S159:T159))</f>
        <v>0</v>
      </c>
      <c r="W159" s="463" t="s">
        <v>277</v>
      </c>
      <c r="X159" s="464">
        <v>2.6</v>
      </c>
    </row>
    <row r="160" spans="1:24" ht="13" x14ac:dyDescent="0.25">
      <c r="A160" s="1033"/>
      <c r="B160" s="459">
        <v>2</v>
      </c>
      <c r="C160" s="36">
        <v>20</v>
      </c>
      <c r="D160" s="36">
        <v>0.3</v>
      </c>
      <c r="E160" s="36">
        <v>-0.5</v>
      </c>
      <c r="F160" s="32" t="s">
        <v>243</v>
      </c>
      <c r="G160" s="460">
        <f t="shared" si="42"/>
        <v>0</v>
      </c>
      <c r="I160" s="459">
        <v>2</v>
      </c>
      <c r="J160" s="36">
        <v>40</v>
      </c>
      <c r="K160" s="36">
        <v>-1.7</v>
      </c>
      <c r="L160" s="36">
        <v>-0.3</v>
      </c>
      <c r="M160" s="32" t="s">
        <v>243</v>
      </c>
      <c r="N160" s="460">
        <f t="shared" si="43"/>
        <v>0</v>
      </c>
      <c r="P160" s="459">
        <v>2</v>
      </c>
      <c r="Q160" s="36">
        <v>970</v>
      </c>
      <c r="R160" s="36">
        <v>4.5</v>
      </c>
      <c r="S160" s="31">
        <v>1</v>
      </c>
      <c r="T160" s="32" t="s">
        <v>243</v>
      </c>
      <c r="U160" s="460">
        <f t="shared" si="44"/>
        <v>0</v>
      </c>
    </row>
    <row r="161" spans="1:24" ht="13" x14ac:dyDescent="0.25">
      <c r="A161" s="1033"/>
      <c r="B161" s="459">
        <v>3</v>
      </c>
      <c r="C161" s="36">
        <v>25</v>
      </c>
      <c r="D161" s="36">
        <v>0.2</v>
      </c>
      <c r="E161" s="36">
        <v>-0.4</v>
      </c>
      <c r="F161" s="32" t="s">
        <v>243</v>
      </c>
      <c r="G161" s="460">
        <f t="shared" si="42"/>
        <v>0</v>
      </c>
      <c r="I161" s="459">
        <v>3</v>
      </c>
      <c r="J161" s="36">
        <v>50</v>
      </c>
      <c r="K161" s="36">
        <v>-1.4</v>
      </c>
      <c r="L161" s="36">
        <v>-0.3</v>
      </c>
      <c r="M161" s="32" t="s">
        <v>243</v>
      </c>
      <c r="N161" s="460">
        <f t="shared" si="43"/>
        <v>0</v>
      </c>
      <c r="P161" s="459">
        <v>3</v>
      </c>
      <c r="Q161" s="465">
        <v>980</v>
      </c>
      <c r="R161" s="36">
        <v>4.3</v>
      </c>
      <c r="S161" s="466">
        <v>1</v>
      </c>
      <c r="T161" s="32" t="s">
        <v>243</v>
      </c>
      <c r="U161" s="460">
        <f t="shared" si="44"/>
        <v>0</v>
      </c>
    </row>
    <row r="162" spans="1:24" ht="13" x14ac:dyDescent="0.25">
      <c r="A162" s="1033"/>
      <c r="B162" s="459">
        <v>4</v>
      </c>
      <c r="C162" s="465">
        <v>30</v>
      </c>
      <c r="D162" s="36">
        <v>0.4</v>
      </c>
      <c r="E162" s="465">
        <v>-0.2</v>
      </c>
      <c r="F162" s="466" t="s">
        <v>243</v>
      </c>
      <c r="G162" s="460">
        <f t="shared" si="42"/>
        <v>0</v>
      </c>
      <c r="I162" s="459">
        <v>4</v>
      </c>
      <c r="J162" s="465">
        <v>60</v>
      </c>
      <c r="K162" s="36">
        <v>-1.1000000000000001</v>
      </c>
      <c r="L162" s="465">
        <v>-0.5</v>
      </c>
      <c r="M162" s="466" t="s">
        <v>243</v>
      </c>
      <c r="N162" s="460">
        <f t="shared" si="43"/>
        <v>0</v>
      </c>
      <c r="P162" s="459">
        <v>4</v>
      </c>
      <c r="Q162" s="465">
        <v>990</v>
      </c>
      <c r="R162" s="36">
        <v>4.2</v>
      </c>
      <c r="S162" s="466">
        <v>1.1000000000000001</v>
      </c>
      <c r="T162" s="466" t="s">
        <v>243</v>
      </c>
      <c r="U162" s="460">
        <f t="shared" si="44"/>
        <v>0</v>
      </c>
    </row>
    <row r="163" spans="1:24" ht="13" x14ac:dyDescent="0.25">
      <c r="A163" s="1033"/>
      <c r="B163" s="459">
        <v>5</v>
      </c>
      <c r="C163" s="465">
        <v>35</v>
      </c>
      <c r="D163" s="36">
        <v>0.8</v>
      </c>
      <c r="E163" s="465">
        <v>-0.1</v>
      </c>
      <c r="F163" s="466" t="s">
        <v>243</v>
      </c>
      <c r="G163" s="460">
        <f t="shared" si="42"/>
        <v>0</v>
      </c>
      <c r="I163" s="459">
        <v>5</v>
      </c>
      <c r="J163" s="465">
        <v>70</v>
      </c>
      <c r="K163" s="36">
        <v>-0.7</v>
      </c>
      <c r="L163" s="465">
        <v>-0.8</v>
      </c>
      <c r="M163" s="466" t="s">
        <v>243</v>
      </c>
      <c r="N163" s="460">
        <f t="shared" si="43"/>
        <v>0</v>
      </c>
      <c r="P163" s="459">
        <v>5</v>
      </c>
      <c r="Q163" s="465">
        <v>1000</v>
      </c>
      <c r="R163" s="36">
        <v>4.0999999999999996</v>
      </c>
      <c r="S163" s="466">
        <v>1.1000000000000001</v>
      </c>
      <c r="T163" s="466" t="s">
        <v>243</v>
      </c>
      <c r="U163" s="460">
        <f t="shared" si="44"/>
        <v>0</v>
      </c>
    </row>
    <row r="164" spans="1:24" ht="13" x14ac:dyDescent="0.25">
      <c r="A164" s="1033"/>
      <c r="B164" s="459">
        <v>6</v>
      </c>
      <c r="C164" s="465">
        <v>37</v>
      </c>
      <c r="D164" s="36">
        <v>1</v>
      </c>
      <c r="E164" s="465">
        <v>-0.1</v>
      </c>
      <c r="F164" s="466" t="s">
        <v>243</v>
      </c>
      <c r="G164" s="460">
        <f t="shared" si="42"/>
        <v>0</v>
      </c>
      <c r="I164" s="459">
        <v>6</v>
      </c>
      <c r="J164" s="465">
        <v>80</v>
      </c>
      <c r="K164" s="36">
        <v>-0.4</v>
      </c>
      <c r="L164" s="465">
        <v>-1.3</v>
      </c>
      <c r="M164" s="466" t="s">
        <v>243</v>
      </c>
      <c r="N164" s="460">
        <f t="shared" si="43"/>
        <v>0</v>
      </c>
      <c r="P164" s="459">
        <v>6</v>
      </c>
      <c r="Q164" s="465">
        <v>1005</v>
      </c>
      <c r="R164" s="36">
        <v>4</v>
      </c>
      <c r="S164" s="466">
        <v>1.1000000000000001</v>
      </c>
      <c r="T164" s="466" t="s">
        <v>243</v>
      </c>
      <c r="U164" s="460">
        <f t="shared" si="44"/>
        <v>0</v>
      </c>
    </row>
    <row r="165" spans="1:24" ht="13" x14ac:dyDescent="0.25">
      <c r="A165" s="1033"/>
      <c r="B165" s="459">
        <v>7</v>
      </c>
      <c r="C165" s="472">
        <v>40</v>
      </c>
      <c r="D165" s="36">
        <v>1.4</v>
      </c>
      <c r="E165" s="32">
        <v>9.9999999999999995E-7</v>
      </c>
      <c r="F165" s="466" t="s">
        <v>243</v>
      </c>
      <c r="G165" s="460">
        <f t="shared" si="42"/>
        <v>0</v>
      </c>
      <c r="I165" s="459">
        <v>7</v>
      </c>
      <c r="J165" s="472">
        <v>90</v>
      </c>
      <c r="K165" s="36">
        <v>-0.1</v>
      </c>
      <c r="L165" s="465">
        <v>-2</v>
      </c>
      <c r="M165" s="466" t="s">
        <v>243</v>
      </c>
      <c r="N165" s="460">
        <f t="shared" si="43"/>
        <v>0</v>
      </c>
      <c r="P165" s="459">
        <v>7</v>
      </c>
      <c r="Q165" s="465">
        <v>1010</v>
      </c>
      <c r="R165" s="36">
        <v>3.9</v>
      </c>
      <c r="S165" s="466">
        <v>9.9999999999999995E-7</v>
      </c>
      <c r="T165" s="466" t="s">
        <v>243</v>
      </c>
      <c r="U165" s="460">
        <f t="shared" si="44"/>
        <v>0</v>
      </c>
    </row>
    <row r="166" spans="1:24" ht="13" thickBot="1" x14ac:dyDescent="0.3">
      <c r="A166" s="473"/>
      <c r="C166" s="474"/>
      <c r="D166" s="452"/>
      <c r="E166" s="475"/>
      <c r="F166" s="474"/>
      <c r="I166" s="474"/>
      <c r="J166" s="452"/>
      <c r="K166" s="475"/>
      <c r="L166" s="474"/>
      <c r="O166" s="452"/>
      <c r="P166" s="475"/>
      <c r="Q166" s="475"/>
      <c r="R166" s="474"/>
    </row>
    <row r="167" spans="1:24" x14ac:dyDescent="0.25">
      <c r="A167" s="1033">
        <v>16</v>
      </c>
      <c r="B167" s="1034" t="s">
        <v>292</v>
      </c>
      <c r="C167" s="1034"/>
      <c r="D167" s="1034"/>
      <c r="E167" s="1034"/>
      <c r="F167" s="1034"/>
      <c r="G167" s="1034"/>
      <c r="I167" s="1034" t="str">
        <f>B167</f>
        <v>KOREKSI EXTECH A.100616</v>
      </c>
      <c r="J167" s="1034"/>
      <c r="K167" s="1034"/>
      <c r="L167" s="1034"/>
      <c r="M167" s="1034"/>
      <c r="N167" s="1034"/>
      <c r="P167" s="1034" t="str">
        <f>I167</f>
        <v>KOREKSI EXTECH A.100616</v>
      </c>
      <c r="Q167" s="1034"/>
      <c r="R167" s="1034"/>
      <c r="S167" s="1034"/>
      <c r="T167" s="1034"/>
      <c r="U167" s="1034"/>
      <c r="W167" s="1028" t="s">
        <v>222</v>
      </c>
      <c r="X167" s="1029"/>
    </row>
    <row r="168" spans="1:24" ht="13" x14ac:dyDescent="0.25">
      <c r="A168" s="1033"/>
      <c r="B168" s="1030" t="s">
        <v>270</v>
      </c>
      <c r="C168" s="1030"/>
      <c r="D168" s="1030" t="s">
        <v>271</v>
      </c>
      <c r="E168" s="1030"/>
      <c r="F168" s="1030"/>
      <c r="G168" s="1030" t="s">
        <v>272</v>
      </c>
      <c r="I168" s="1030" t="s">
        <v>273</v>
      </c>
      <c r="J168" s="1030"/>
      <c r="K168" s="1030" t="s">
        <v>271</v>
      </c>
      <c r="L168" s="1030"/>
      <c r="M168" s="1030"/>
      <c r="N168" s="1030" t="s">
        <v>272</v>
      </c>
      <c r="P168" s="1030" t="s">
        <v>274</v>
      </c>
      <c r="Q168" s="1030"/>
      <c r="R168" s="1030" t="s">
        <v>271</v>
      </c>
      <c r="S168" s="1030"/>
      <c r="T168" s="1030"/>
      <c r="U168" s="1030" t="s">
        <v>272</v>
      </c>
      <c r="W168" s="457" t="s">
        <v>270</v>
      </c>
      <c r="X168" s="458">
        <v>0.4</v>
      </c>
    </row>
    <row r="169" spans="1:24" ht="14.5" x14ac:dyDescent="0.25">
      <c r="A169" s="1033"/>
      <c r="B169" s="1031" t="s">
        <v>275</v>
      </c>
      <c r="C169" s="1031"/>
      <c r="D169" s="438">
        <v>2020</v>
      </c>
      <c r="E169" s="440" t="s">
        <v>243</v>
      </c>
      <c r="F169" s="438">
        <v>2016</v>
      </c>
      <c r="G169" s="1030"/>
      <c r="I169" s="1032" t="s">
        <v>276</v>
      </c>
      <c r="J169" s="1031"/>
      <c r="K169" s="471">
        <f>D169</f>
        <v>2020</v>
      </c>
      <c r="L169" s="471" t="str">
        <f>E169</f>
        <v>-</v>
      </c>
      <c r="M169" s="438">
        <v>2016</v>
      </c>
      <c r="N169" s="1030"/>
      <c r="P169" s="1032" t="s">
        <v>277</v>
      </c>
      <c r="Q169" s="1031"/>
      <c r="R169" s="471">
        <f>K169</f>
        <v>2020</v>
      </c>
      <c r="S169" s="471" t="str">
        <f>L169</f>
        <v>-</v>
      </c>
      <c r="T169" s="438">
        <v>2016</v>
      </c>
      <c r="U169" s="1030"/>
      <c r="W169" s="457" t="s">
        <v>276</v>
      </c>
      <c r="X169" s="458">
        <v>2.2000000000000002</v>
      </c>
    </row>
    <row r="170" spans="1:24" ht="13.5" thickBot="1" x14ac:dyDescent="0.3">
      <c r="A170" s="1033"/>
      <c r="B170" s="459">
        <v>1</v>
      </c>
      <c r="C170" s="36">
        <v>15</v>
      </c>
      <c r="D170" s="36">
        <v>0.1</v>
      </c>
      <c r="E170" s="32" t="s">
        <v>243</v>
      </c>
      <c r="F170" s="462"/>
      <c r="G170" s="460">
        <f>0.5*(MAX(D170:F170)-MIN(D170:F170))</f>
        <v>0</v>
      </c>
      <c r="I170" s="459">
        <v>1</v>
      </c>
      <c r="J170" s="36">
        <v>30</v>
      </c>
      <c r="K170" s="36">
        <v>-1.6</v>
      </c>
      <c r="L170" s="32" t="s">
        <v>243</v>
      </c>
      <c r="M170" s="462"/>
      <c r="N170" s="460">
        <f>0.5*(MAX(K170:M170)-MIN(K170:M170))</f>
        <v>0</v>
      </c>
      <c r="P170" s="459">
        <v>1</v>
      </c>
      <c r="Q170" s="36">
        <v>800</v>
      </c>
      <c r="R170" s="31">
        <v>-2.9</v>
      </c>
      <c r="S170" s="32" t="s">
        <v>243</v>
      </c>
      <c r="T170" s="462"/>
      <c r="U170" s="460">
        <f>0.5*(MAX(R170:T170)-MIN(R170:T170))</f>
        <v>0</v>
      </c>
      <c r="W170" s="463" t="s">
        <v>277</v>
      </c>
      <c r="X170" s="464">
        <v>2.2999999999999998</v>
      </c>
    </row>
    <row r="171" spans="1:24" ht="13" x14ac:dyDescent="0.25">
      <c r="A171" s="1033"/>
      <c r="B171" s="459">
        <v>2</v>
      </c>
      <c r="C171" s="36">
        <v>20</v>
      </c>
      <c r="D171" s="36">
        <v>0.2</v>
      </c>
      <c r="E171" s="32" t="s">
        <v>243</v>
      </c>
      <c r="F171" s="462"/>
      <c r="G171" s="460">
        <f t="shared" ref="G171:G176" si="45">0.5*(MAX(D171:F171)-MIN(D171:F171))</f>
        <v>0</v>
      </c>
      <c r="I171" s="459">
        <v>2</v>
      </c>
      <c r="J171" s="36">
        <v>40</v>
      </c>
      <c r="K171" s="36">
        <v>-1.4</v>
      </c>
      <c r="L171" s="32" t="s">
        <v>243</v>
      </c>
      <c r="M171" s="462"/>
      <c r="N171" s="460">
        <f t="shared" ref="N171:N176" si="46">0.5*(MAX(K171:M171)-MIN(K171:M171))</f>
        <v>0</v>
      </c>
      <c r="P171" s="459">
        <v>2</v>
      </c>
      <c r="Q171" s="36">
        <v>850</v>
      </c>
      <c r="R171" s="31">
        <v>-2.2999999999999998</v>
      </c>
      <c r="S171" s="32" t="s">
        <v>243</v>
      </c>
      <c r="T171" s="462"/>
      <c r="U171" s="460">
        <f t="shared" ref="U171:U176" si="47">0.5*(MAX(R171:T171)-MIN(R171:T171))</f>
        <v>0</v>
      </c>
    </row>
    <row r="172" spans="1:24" ht="13" x14ac:dyDescent="0.25">
      <c r="A172" s="1033"/>
      <c r="B172" s="459">
        <v>3</v>
      </c>
      <c r="C172" s="36">
        <v>25</v>
      </c>
      <c r="D172" s="36">
        <v>0.2</v>
      </c>
      <c r="E172" s="32" t="s">
        <v>243</v>
      </c>
      <c r="F172" s="462"/>
      <c r="G172" s="460">
        <f t="shared" si="45"/>
        <v>0</v>
      </c>
      <c r="I172" s="459">
        <v>3</v>
      </c>
      <c r="J172" s="36">
        <v>50</v>
      </c>
      <c r="K172" s="36">
        <v>-1.4</v>
      </c>
      <c r="L172" s="32" t="s">
        <v>243</v>
      </c>
      <c r="M172" s="462"/>
      <c r="N172" s="460">
        <f t="shared" si="46"/>
        <v>0</v>
      </c>
      <c r="P172" s="459">
        <v>3</v>
      </c>
      <c r="Q172" s="465">
        <v>900</v>
      </c>
      <c r="R172" s="466">
        <v>-1.7</v>
      </c>
      <c r="S172" s="32" t="s">
        <v>243</v>
      </c>
      <c r="T172" s="462"/>
      <c r="U172" s="460">
        <f t="shared" si="47"/>
        <v>0</v>
      </c>
    </row>
    <row r="173" spans="1:24" ht="13" x14ac:dyDescent="0.25">
      <c r="A173" s="1033"/>
      <c r="B173" s="459">
        <v>4</v>
      </c>
      <c r="C173" s="465">
        <v>30</v>
      </c>
      <c r="D173" s="465">
        <v>0.2</v>
      </c>
      <c r="E173" s="466" t="s">
        <v>243</v>
      </c>
      <c r="F173" s="462"/>
      <c r="G173" s="460">
        <f t="shared" si="45"/>
        <v>0</v>
      </c>
      <c r="I173" s="459">
        <v>4</v>
      </c>
      <c r="J173" s="465">
        <v>60</v>
      </c>
      <c r="K173" s="465">
        <v>-1.5</v>
      </c>
      <c r="L173" s="466" t="s">
        <v>243</v>
      </c>
      <c r="M173" s="462"/>
      <c r="N173" s="460">
        <f t="shared" si="46"/>
        <v>0</v>
      </c>
      <c r="P173" s="459">
        <v>4</v>
      </c>
      <c r="Q173" s="465">
        <v>950</v>
      </c>
      <c r="R173" s="466">
        <v>-1.1000000000000001</v>
      </c>
      <c r="S173" s="466" t="s">
        <v>243</v>
      </c>
      <c r="T173" s="462"/>
      <c r="U173" s="460">
        <f t="shared" si="47"/>
        <v>0</v>
      </c>
    </row>
    <row r="174" spans="1:24" ht="13" x14ac:dyDescent="0.25">
      <c r="A174" s="1033"/>
      <c r="B174" s="459">
        <v>5</v>
      </c>
      <c r="C174" s="465">
        <v>35</v>
      </c>
      <c r="D174" s="465">
        <v>0.1</v>
      </c>
      <c r="E174" s="466" t="s">
        <v>243</v>
      </c>
      <c r="F174" s="462"/>
      <c r="G174" s="460">
        <f t="shared" si="45"/>
        <v>0</v>
      </c>
      <c r="I174" s="459">
        <v>5</v>
      </c>
      <c r="J174" s="465">
        <v>70</v>
      </c>
      <c r="K174" s="465">
        <v>-1.8</v>
      </c>
      <c r="L174" s="466" t="s">
        <v>243</v>
      </c>
      <c r="M174" s="462"/>
      <c r="N174" s="460">
        <f t="shared" si="46"/>
        <v>0</v>
      </c>
      <c r="P174" s="459">
        <v>5</v>
      </c>
      <c r="Q174" s="465">
        <v>1000</v>
      </c>
      <c r="R174" s="466">
        <v>-0.4</v>
      </c>
      <c r="S174" s="466" t="s">
        <v>243</v>
      </c>
      <c r="T174" s="462"/>
      <c r="U174" s="460">
        <f t="shared" si="47"/>
        <v>0</v>
      </c>
    </row>
    <row r="175" spans="1:24" ht="13" x14ac:dyDescent="0.25">
      <c r="A175" s="1033"/>
      <c r="B175" s="459">
        <v>6</v>
      </c>
      <c r="C175" s="465">
        <v>37</v>
      </c>
      <c r="D175" s="32">
        <v>9.9999999999999995E-7</v>
      </c>
      <c r="E175" s="466" t="s">
        <v>243</v>
      </c>
      <c r="F175" s="462"/>
      <c r="G175" s="460">
        <f t="shared" si="45"/>
        <v>0</v>
      </c>
      <c r="I175" s="459">
        <v>6</v>
      </c>
      <c r="J175" s="465">
        <v>80</v>
      </c>
      <c r="K175" s="465">
        <v>-2.2999999999999998</v>
      </c>
      <c r="L175" s="466" t="s">
        <v>243</v>
      </c>
      <c r="M175" s="462"/>
      <c r="N175" s="460">
        <f t="shared" si="46"/>
        <v>0</v>
      </c>
      <c r="P175" s="459">
        <v>6</v>
      </c>
      <c r="Q175" s="465">
        <v>1005</v>
      </c>
      <c r="R175" s="466">
        <v>-0.4</v>
      </c>
      <c r="S175" s="466" t="s">
        <v>243</v>
      </c>
      <c r="T175" s="462"/>
      <c r="U175" s="460">
        <f t="shared" si="47"/>
        <v>0</v>
      </c>
    </row>
    <row r="176" spans="1:24" ht="13" x14ac:dyDescent="0.25">
      <c r="A176" s="1033"/>
      <c r="B176" s="459">
        <v>7</v>
      </c>
      <c r="C176" s="472">
        <v>40</v>
      </c>
      <c r="D176" s="32">
        <v>9.9999999999999995E-7</v>
      </c>
      <c r="E176" s="466" t="s">
        <v>243</v>
      </c>
      <c r="F176" s="462"/>
      <c r="G176" s="460">
        <f t="shared" si="45"/>
        <v>0</v>
      </c>
      <c r="I176" s="459">
        <v>7</v>
      </c>
      <c r="J176" s="472">
        <v>90</v>
      </c>
      <c r="K176" s="465">
        <v>-3</v>
      </c>
      <c r="L176" s="466" t="s">
        <v>243</v>
      </c>
      <c r="M176" s="462"/>
      <c r="N176" s="460">
        <f t="shared" si="46"/>
        <v>0</v>
      </c>
      <c r="P176" s="459">
        <v>7</v>
      </c>
      <c r="Q176" s="465">
        <v>1020</v>
      </c>
      <c r="R176" s="466">
        <v>9.9999999999999995E-7</v>
      </c>
      <c r="S176" s="466" t="s">
        <v>243</v>
      </c>
      <c r="T176" s="462"/>
      <c r="U176" s="460">
        <f t="shared" si="47"/>
        <v>0</v>
      </c>
    </row>
    <row r="177" spans="1:24" ht="13" thickBot="1" x14ac:dyDescent="0.3">
      <c r="A177" s="473"/>
      <c r="C177" s="474"/>
      <c r="D177" s="452"/>
      <c r="E177" s="475"/>
      <c r="F177" s="474"/>
      <c r="J177" s="474"/>
      <c r="K177" s="452"/>
      <c r="L177" s="475"/>
      <c r="M177" s="474"/>
      <c r="Q177" s="452"/>
      <c r="R177" s="475"/>
      <c r="S177" s="475"/>
      <c r="T177" s="474"/>
    </row>
    <row r="178" spans="1:24" x14ac:dyDescent="0.25">
      <c r="A178" s="1033">
        <v>17</v>
      </c>
      <c r="B178" s="1034" t="s">
        <v>293</v>
      </c>
      <c r="C178" s="1034"/>
      <c r="D178" s="1034"/>
      <c r="E178" s="1034"/>
      <c r="F178" s="1034"/>
      <c r="G178" s="1034"/>
      <c r="I178" s="1034" t="str">
        <f>B178</f>
        <v>KOREKSI EXTECH A.100617</v>
      </c>
      <c r="J178" s="1034"/>
      <c r="K178" s="1034"/>
      <c r="L178" s="1034"/>
      <c r="M178" s="1034"/>
      <c r="N178" s="1034"/>
      <c r="P178" s="1034" t="str">
        <f>I178</f>
        <v>KOREKSI EXTECH A.100617</v>
      </c>
      <c r="Q178" s="1034"/>
      <c r="R178" s="1034"/>
      <c r="S178" s="1034"/>
      <c r="T178" s="1034"/>
      <c r="U178" s="1034"/>
      <c r="W178" s="1028" t="s">
        <v>222</v>
      </c>
      <c r="X178" s="1029"/>
    </row>
    <row r="179" spans="1:24" ht="13" x14ac:dyDescent="0.25">
      <c r="A179" s="1033"/>
      <c r="B179" s="1030" t="s">
        <v>270</v>
      </c>
      <c r="C179" s="1030"/>
      <c r="D179" s="1030" t="s">
        <v>271</v>
      </c>
      <c r="E179" s="1030"/>
      <c r="F179" s="1030"/>
      <c r="G179" s="1030" t="s">
        <v>272</v>
      </c>
      <c r="I179" s="1030" t="s">
        <v>273</v>
      </c>
      <c r="J179" s="1030"/>
      <c r="K179" s="1030" t="s">
        <v>271</v>
      </c>
      <c r="L179" s="1030"/>
      <c r="M179" s="1030"/>
      <c r="N179" s="1030" t="s">
        <v>272</v>
      </c>
      <c r="P179" s="1030" t="s">
        <v>274</v>
      </c>
      <c r="Q179" s="1030"/>
      <c r="R179" s="1030" t="s">
        <v>271</v>
      </c>
      <c r="S179" s="1030"/>
      <c r="T179" s="1030"/>
      <c r="U179" s="1030" t="s">
        <v>272</v>
      </c>
      <c r="W179" s="457" t="s">
        <v>270</v>
      </c>
      <c r="X179" s="458">
        <v>0.3</v>
      </c>
    </row>
    <row r="180" spans="1:24" ht="14.5" x14ac:dyDescent="0.25">
      <c r="A180" s="1033"/>
      <c r="B180" s="1031" t="s">
        <v>275</v>
      </c>
      <c r="C180" s="1031"/>
      <c r="D180" s="438">
        <v>2020</v>
      </c>
      <c r="E180" s="440" t="s">
        <v>243</v>
      </c>
      <c r="F180" s="438">
        <v>2016</v>
      </c>
      <c r="G180" s="1030"/>
      <c r="I180" s="1032" t="s">
        <v>276</v>
      </c>
      <c r="J180" s="1031"/>
      <c r="K180" s="471">
        <f>D180</f>
        <v>2020</v>
      </c>
      <c r="L180" s="471" t="str">
        <f>E180</f>
        <v>-</v>
      </c>
      <c r="M180" s="438">
        <v>2016</v>
      </c>
      <c r="N180" s="1030"/>
      <c r="P180" s="1032" t="s">
        <v>277</v>
      </c>
      <c r="Q180" s="1031"/>
      <c r="R180" s="471">
        <f>K180</f>
        <v>2020</v>
      </c>
      <c r="S180" s="471" t="str">
        <f>L180</f>
        <v>-</v>
      </c>
      <c r="T180" s="438">
        <v>2016</v>
      </c>
      <c r="U180" s="1030"/>
      <c r="W180" s="457" t="s">
        <v>276</v>
      </c>
      <c r="X180" s="458">
        <v>2.8</v>
      </c>
    </row>
    <row r="181" spans="1:24" ht="13.5" thickBot="1" x14ac:dyDescent="0.3">
      <c r="A181" s="1033"/>
      <c r="B181" s="459">
        <v>1</v>
      </c>
      <c r="C181" s="36">
        <v>15</v>
      </c>
      <c r="D181" s="36">
        <v>0.1</v>
      </c>
      <c r="E181" s="32" t="s">
        <v>243</v>
      </c>
      <c r="F181" s="462"/>
      <c r="G181" s="460">
        <f>0.5*(MAX(D181:F181)-MIN(D181:F181))</f>
        <v>0</v>
      </c>
      <c r="I181" s="459">
        <v>1</v>
      </c>
      <c r="J181" s="36">
        <v>30</v>
      </c>
      <c r="K181" s="36">
        <v>0.1</v>
      </c>
      <c r="L181" s="32" t="s">
        <v>243</v>
      </c>
      <c r="M181" s="462"/>
      <c r="N181" s="460">
        <f>0.5*(MAX(K181:M181)-MIN(K181:M181))</f>
        <v>0</v>
      </c>
      <c r="P181" s="459">
        <v>1</v>
      </c>
      <c r="Q181" s="36">
        <v>960</v>
      </c>
      <c r="R181" s="31">
        <v>-0.6</v>
      </c>
      <c r="S181" s="32" t="s">
        <v>243</v>
      </c>
      <c r="T181" s="462"/>
      <c r="U181" s="460">
        <f>0.5*(MAX(R181:T181)-MIN(R181:T181))</f>
        <v>0</v>
      </c>
      <c r="W181" s="463" t="s">
        <v>277</v>
      </c>
      <c r="X181" s="464">
        <v>2.1</v>
      </c>
    </row>
    <row r="182" spans="1:24" ht="13" x14ac:dyDescent="0.25">
      <c r="A182" s="1033"/>
      <c r="B182" s="459">
        <v>2</v>
      </c>
      <c r="C182" s="36">
        <v>20</v>
      </c>
      <c r="D182" s="36">
        <v>0.1</v>
      </c>
      <c r="E182" s="32" t="s">
        <v>243</v>
      </c>
      <c r="F182" s="462"/>
      <c r="G182" s="460">
        <f t="shared" ref="G182:G187" si="48">0.5*(MAX(D182:F182)-MIN(D182:F182))</f>
        <v>0</v>
      </c>
      <c r="I182" s="459">
        <v>2</v>
      </c>
      <c r="J182" s="36">
        <v>40</v>
      </c>
      <c r="K182" s="36">
        <v>0.2</v>
      </c>
      <c r="L182" s="32" t="s">
        <v>243</v>
      </c>
      <c r="M182" s="462"/>
      <c r="N182" s="460">
        <f t="shared" ref="N182:N187" si="49">0.5*(MAX(K182:M182)-MIN(K182:M182))</f>
        <v>0</v>
      </c>
      <c r="P182" s="459">
        <v>2</v>
      </c>
      <c r="Q182" s="36">
        <v>970</v>
      </c>
      <c r="R182" s="31">
        <v>-0.6</v>
      </c>
      <c r="S182" s="32" t="s">
        <v>243</v>
      </c>
      <c r="T182" s="462"/>
      <c r="U182" s="460">
        <f t="shared" ref="U182:U187" si="50">0.5*(MAX(R182:T182)-MIN(R182:T182))</f>
        <v>0</v>
      </c>
    </row>
    <row r="183" spans="1:24" ht="13" x14ac:dyDescent="0.25">
      <c r="A183" s="1033"/>
      <c r="B183" s="459">
        <v>3</v>
      </c>
      <c r="C183" s="36">
        <v>25</v>
      </c>
      <c r="D183" s="36">
        <v>0</v>
      </c>
      <c r="E183" s="32" t="s">
        <v>243</v>
      </c>
      <c r="F183" s="462"/>
      <c r="G183" s="460">
        <f t="shared" si="48"/>
        <v>0</v>
      </c>
      <c r="I183" s="459">
        <v>3</v>
      </c>
      <c r="J183" s="36">
        <v>50</v>
      </c>
      <c r="K183" s="36">
        <v>0.2</v>
      </c>
      <c r="L183" s="32" t="s">
        <v>243</v>
      </c>
      <c r="M183" s="462"/>
      <c r="N183" s="460">
        <f t="shared" si="49"/>
        <v>0</v>
      </c>
      <c r="P183" s="459">
        <v>3</v>
      </c>
      <c r="Q183" s="465">
        <v>980</v>
      </c>
      <c r="R183" s="466">
        <v>-0.6</v>
      </c>
      <c r="S183" s="32" t="s">
        <v>243</v>
      </c>
      <c r="T183" s="462"/>
      <c r="U183" s="460">
        <f t="shared" si="50"/>
        <v>0</v>
      </c>
    </row>
    <row r="184" spans="1:24" ht="13" x14ac:dyDescent="0.25">
      <c r="A184" s="1033"/>
      <c r="B184" s="459">
        <v>4</v>
      </c>
      <c r="C184" s="465">
        <v>30</v>
      </c>
      <c r="D184" s="465">
        <v>-0.2</v>
      </c>
      <c r="E184" s="466" t="s">
        <v>243</v>
      </c>
      <c r="F184" s="462"/>
      <c r="G184" s="460">
        <f t="shared" si="48"/>
        <v>0</v>
      </c>
      <c r="I184" s="459">
        <v>4</v>
      </c>
      <c r="J184" s="465">
        <v>60</v>
      </c>
      <c r="K184" s="465">
        <v>0</v>
      </c>
      <c r="L184" s="466" t="s">
        <v>243</v>
      </c>
      <c r="M184" s="462"/>
      <c r="N184" s="460">
        <f t="shared" si="49"/>
        <v>0</v>
      </c>
      <c r="P184" s="459">
        <v>4</v>
      </c>
      <c r="Q184" s="465">
        <v>990</v>
      </c>
      <c r="R184" s="466">
        <v>-0.6</v>
      </c>
      <c r="S184" s="466" t="s">
        <v>243</v>
      </c>
      <c r="T184" s="462"/>
      <c r="U184" s="460">
        <f t="shared" si="50"/>
        <v>0</v>
      </c>
    </row>
    <row r="185" spans="1:24" ht="13" x14ac:dyDescent="0.25">
      <c r="A185" s="1033"/>
      <c r="B185" s="459">
        <v>5</v>
      </c>
      <c r="C185" s="465">
        <v>35</v>
      </c>
      <c r="D185" s="465">
        <v>-0.5</v>
      </c>
      <c r="E185" s="466" t="s">
        <v>243</v>
      </c>
      <c r="F185" s="462"/>
      <c r="G185" s="460">
        <f t="shared" si="48"/>
        <v>0</v>
      </c>
      <c r="I185" s="459">
        <v>5</v>
      </c>
      <c r="J185" s="465">
        <v>70</v>
      </c>
      <c r="K185" s="465">
        <v>-0.3</v>
      </c>
      <c r="L185" s="466" t="s">
        <v>243</v>
      </c>
      <c r="M185" s="462"/>
      <c r="N185" s="460">
        <f t="shared" si="49"/>
        <v>0</v>
      </c>
      <c r="P185" s="459">
        <v>5</v>
      </c>
      <c r="Q185" s="465">
        <v>1000</v>
      </c>
      <c r="R185" s="466">
        <v>-0.6</v>
      </c>
      <c r="S185" s="466" t="s">
        <v>243</v>
      </c>
      <c r="T185" s="462"/>
      <c r="U185" s="460">
        <f t="shared" si="50"/>
        <v>0</v>
      </c>
    </row>
    <row r="186" spans="1:24" ht="13" x14ac:dyDescent="0.25">
      <c r="A186" s="1033"/>
      <c r="B186" s="459">
        <v>6</v>
      </c>
      <c r="C186" s="465">
        <v>37</v>
      </c>
      <c r="D186" s="465">
        <v>-0.6</v>
      </c>
      <c r="E186" s="466" t="s">
        <v>243</v>
      </c>
      <c r="F186" s="462"/>
      <c r="G186" s="460">
        <f t="shared" si="48"/>
        <v>0</v>
      </c>
      <c r="I186" s="459">
        <v>6</v>
      </c>
      <c r="J186" s="465">
        <v>80</v>
      </c>
      <c r="K186" s="465">
        <v>-0.8</v>
      </c>
      <c r="L186" s="466" t="s">
        <v>243</v>
      </c>
      <c r="M186" s="462"/>
      <c r="N186" s="460">
        <f t="shared" si="49"/>
        <v>0</v>
      </c>
      <c r="P186" s="459">
        <v>6</v>
      </c>
      <c r="Q186" s="465">
        <v>1005</v>
      </c>
      <c r="R186" s="466">
        <v>-0.6</v>
      </c>
      <c r="S186" s="466" t="s">
        <v>243</v>
      </c>
      <c r="T186" s="462"/>
      <c r="U186" s="460">
        <f t="shared" si="50"/>
        <v>0</v>
      </c>
    </row>
    <row r="187" spans="1:24" ht="13" x14ac:dyDescent="0.25">
      <c r="A187" s="1033"/>
      <c r="B187" s="459">
        <v>7</v>
      </c>
      <c r="C187" s="472">
        <v>40</v>
      </c>
      <c r="D187" s="465">
        <v>-0.8</v>
      </c>
      <c r="E187" s="466" t="s">
        <v>243</v>
      </c>
      <c r="F187" s="462"/>
      <c r="G187" s="460">
        <f t="shared" si="48"/>
        <v>0</v>
      </c>
      <c r="I187" s="459">
        <v>7</v>
      </c>
      <c r="J187" s="472">
        <v>90</v>
      </c>
      <c r="K187" s="465">
        <v>-1.4</v>
      </c>
      <c r="L187" s="466" t="s">
        <v>243</v>
      </c>
      <c r="M187" s="462"/>
      <c r="N187" s="460">
        <f t="shared" si="49"/>
        <v>0</v>
      </c>
      <c r="P187" s="459">
        <v>7</v>
      </c>
      <c r="Q187" s="465">
        <v>1020</v>
      </c>
      <c r="R187" s="466">
        <v>9.9999999999999995E-7</v>
      </c>
      <c r="S187" s="466" t="s">
        <v>243</v>
      </c>
      <c r="T187" s="462"/>
      <c r="U187" s="460">
        <f t="shared" si="50"/>
        <v>0</v>
      </c>
    </row>
    <row r="188" spans="1:24" ht="13" thickBot="1" x14ac:dyDescent="0.3">
      <c r="A188" s="473"/>
      <c r="C188" s="474"/>
      <c r="D188" s="452"/>
      <c r="E188" s="475"/>
      <c r="F188" s="474"/>
      <c r="J188" s="474"/>
      <c r="K188" s="452"/>
      <c r="L188" s="475"/>
      <c r="M188" s="474"/>
      <c r="Q188" s="452"/>
      <c r="R188" s="475"/>
      <c r="S188" s="475"/>
      <c r="T188" s="474"/>
    </row>
    <row r="189" spans="1:24" x14ac:dyDescent="0.25">
      <c r="A189" s="1033">
        <v>18</v>
      </c>
      <c r="B189" s="1034" t="s">
        <v>294</v>
      </c>
      <c r="C189" s="1034"/>
      <c r="D189" s="1034"/>
      <c r="E189" s="1034"/>
      <c r="F189" s="1034"/>
      <c r="G189" s="1034"/>
      <c r="I189" s="1034" t="str">
        <f>B189</f>
        <v>KOREKSI EXTECH A.100618</v>
      </c>
      <c r="J189" s="1034"/>
      <c r="K189" s="1034"/>
      <c r="L189" s="1034"/>
      <c r="M189" s="1034"/>
      <c r="N189" s="1034"/>
      <c r="P189" s="1034" t="str">
        <f>I189</f>
        <v>KOREKSI EXTECH A.100618</v>
      </c>
      <c r="Q189" s="1034"/>
      <c r="R189" s="1034"/>
      <c r="S189" s="1034"/>
      <c r="T189" s="1034"/>
      <c r="U189" s="1034"/>
      <c r="W189" s="1028" t="s">
        <v>222</v>
      </c>
      <c r="X189" s="1029"/>
    </row>
    <row r="190" spans="1:24" ht="13" x14ac:dyDescent="0.25">
      <c r="A190" s="1033"/>
      <c r="B190" s="1030" t="s">
        <v>270</v>
      </c>
      <c r="C190" s="1030"/>
      <c r="D190" s="1030" t="s">
        <v>271</v>
      </c>
      <c r="E190" s="1030"/>
      <c r="F190" s="1030"/>
      <c r="G190" s="1030" t="s">
        <v>272</v>
      </c>
      <c r="I190" s="1030" t="s">
        <v>273</v>
      </c>
      <c r="J190" s="1030"/>
      <c r="K190" s="1030" t="s">
        <v>271</v>
      </c>
      <c r="L190" s="1030"/>
      <c r="M190" s="1030"/>
      <c r="N190" s="1030" t="s">
        <v>272</v>
      </c>
      <c r="P190" s="1030" t="s">
        <v>274</v>
      </c>
      <c r="Q190" s="1030"/>
      <c r="R190" s="1030" t="s">
        <v>271</v>
      </c>
      <c r="S190" s="1030"/>
      <c r="T190" s="1030"/>
      <c r="U190" s="1030" t="s">
        <v>272</v>
      </c>
      <c r="W190" s="457" t="s">
        <v>270</v>
      </c>
      <c r="X190" s="458">
        <v>0.3</v>
      </c>
    </row>
    <row r="191" spans="1:24" ht="14.5" x14ac:dyDescent="0.25">
      <c r="A191" s="1033"/>
      <c r="B191" s="1031" t="s">
        <v>275</v>
      </c>
      <c r="C191" s="1031"/>
      <c r="D191" s="438">
        <v>2020</v>
      </c>
      <c r="E191" s="440" t="s">
        <v>243</v>
      </c>
      <c r="F191" s="438">
        <v>2016</v>
      </c>
      <c r="G191" s="1030"/>
      <c r="I191" s="1032" t="s">
        <v>276</v>
      </c>
      <c r="J191" s="1031"/>
      <c r="K191" s="471">
        <f>D191</f>
        <v>2020</v>
      </c>
      <c r="L191" s="471" t="str">
        <f>E191</f>
        <v>-</v>
      </c>
      <c r="M191" s="438">
        <v>2016</v>
      </c>
      <c r="N191" s="1030"/>
      <c r="P191" s="1032" t="s">
        <v>277</v>
      </c>
      <c r="Q191" s="1031"/>
      <c r="R191" s="471">
        <f>K191</f>
        <v>2020</v>
      </c>
      <c r="S191" s="471" t="str">
        <f>L191</f>
        <v>-</v>
      </c>
      <c r="T191" s="438">
        <v>2016</v>
      </c>
      <c r="U191" s="1030"/>
      <c r="W191" s="457" t="s">
        <v>276</v>
      </c>
      <c r="X191" s="458">
        <v>1.6</v>
      </c>
    </row>
    <row r="192" spans="1:24" ht="13.5" thickBot="1" x14ac:dyDescent="0.3">
      <c r="A192" s="1033"/>
      <c r="B192" s="459">
        <v>1</v>
      </c>
      <c r="C192" s="36">
        <v>15</v>
      </c>
      <c r="D192" s="32">
        <v>9.9999999999999995E-7</v>
      </c>
      <c r="E192" s="32" t="s">
        <v>243</v>
      </c>
      <c r="F192" s="462"/>
      <c r="G192" s="460">
        <f>0.5*(MAX(D192:F192)-MIN(D192:F192))</f>
        <v>0</v>
      </c>
      <c r="I192" s="459">
        <v>1</v>
      </c>
      <c r="J192" s="36">
        <v>30</v>
      </c>
      <c r="K192" s="36">
        <v>-0.4</v>
      </c>
      <c r="L192" s="32" t="s">
        <v>243</v>
      </c>
      <c r="M192" s="462"/>
      <c r="N192" s="460">
        <f>0.5*(MAX(K192:M192)-MIN(K192:M192))</f>
        <v>0</v>
      </c>
      <c r="P192" s="459">
        <v>1</v>
      </c>
      <c r="Q192" s="36">
        <v>800</v>
      </c>
      <c r="R192" s="31">
        <v>-1.5</v>
      </c>
      <c r="S192" s="32" t="s">
        <v>243</v>
      </c>
      <c r="T192" s="462"/>
      <c r="U192" s="460">
        <f>0.5*(MAX(R192:T192)-MIN(R192:T192))</f>
        <v>0</v>
      </c>
      <c r="W192" s="463" t="s">
        <v>277</v>
      </c>
      <c r="X192" s="464">
        <v>2.4</v>
      </c>
    </row>
    <row r="193" spans="1:24" ht="13" x14ac:dyDescent="0.25">
      <c r="A193" s="1033"/>
      <c r="B193" s="459">
        <v>2</v>
      </c>
      <c r="C193" s="36">
        <v>20</v>
      </c>
      <c r="D193" s="36">
        <v>-0.1</v>
      </c>
      <c r="E193" s="32" t="s">
        <v>243</v>
      </c>
      <c r="F193" s="462"/>
      <c r="G193" s="460">
        <f t="shared" ref="G193:G198" si="51">0.5*(MAX(D193:F193)-MIN(D193:F193))</f>
        <v>0</v>
      </c>
      <c r="I193" s="459">
        <v>2</v>
      </c>
      <c r="J193" s="36">
        <v>40</v>
      </c>
      <c r="K193" s="36">
        <v>-0.2</v>
      </c>
      <c r="L193" s="32" t="s">
        <v>243</v>
      </c>
      <c r="M193" s="462"/>
      <c r="N193" s="460">
        <f t="shared" ref="N193:N198" si="52">0.5*(MAX(K193:M193)-MIN(K193:M193))</f>
        <v>0</v>
      </c>
      <c r="P193" s="459">
        <v>2</v>
      </c>
      <c r="Q193" s="36">
        <v>850</v>
      </c>
      <c r="R193" s="31">
        <v>-1.3</v>
      </c>
      <c r="S193" s="32" t="s">
        <v>243</v>
      </c>
      <c r="T193" s="462"/>
      <c r="U193" s="460">
        <f t="shared" ref="U193:U198" si="53">0.5*(MAX(R193:T193)-MIN(R193:T193))</f>
        <v>0</v>
      </c>
    </row>
    <row r="194" spans="1:24" ht="13" x14ac:dyDescent="0.25">
      <c r="A194" s="1033"/>
      <c r="B194" s="459">
        <v>3</v>
      </c>
      <c r="C194" s="36">
        <v>25</v>
      </c>
      <c r="D194" s="36">
        <v>-0.2</v>
      </c>
      <c r="E194" s="32" t="s">
        <v>243</v>
      </c>
      <c r="F194" s="462"/>
      <c r="G194" s="460">
        <f t="shared" si="51"/>
        <v>0</v>
      </c>
      <c r="I194" s="459">
        <v>3</v>
      </c>
      <c r="J194" s="36">
        <v>50</v>
      </c>
      <c r="K194" s="36">
        <v>-0.2</v>
      </c>
      <c r="L194" s="32" t="s">
        <v>243</v>
      </c>
      <c r="M194" s="462"/>
      <c r="N194" s="460">
        <f t="shared" si="52"/>
        <v>0</v>
      </c>
      <c r="P194" s="459">
        <v>3</v>
      </c>
      <c r="Q194" s="465">
        <v>900</v>
      </c>
      <c r="R194" s="466">
        <v>-1.1000000000000001</v>
      </c>
      <c r="S194" s="32" t="s">
        <v>243</v>
      </c>
      <c r="T194" s="462"/>
      <c r="U194" s="460">
        <f t="shared" si="53"/>
        <v>0</v>
      </c>
    </row>
    <row r="195" spans="1:24" ht="13" x14ac:dyDescent="0.25">
      <c r="A195" s="1033"/>
      <c r="B195" s="459">
        <v>4</v>
      </c>
      <c r="C195" s="465">
        <v>30</v>
      </c>
      <c r="D195" s="465">
        <v>-0.2</v>
      </c>
      <c r="E195" s="466" t="s">
        <v>243</v>
      </c>
      <c r="F195" s="462"/>
      <c r="G195" s="460">
        <f t="shared" si="51"/>
        <v>0</v>
      </c>
      <c r="I195" s="459">
        <v>4</v>
      </c>
      <c r="J195" s="465">
        <v>60</v>
      </c>
      <c r="K195" s="465">
        <v>-0.2</v>
      </c>
      <c r="L195" s="466" t="s">
        <v>243</v>
      </c>
      <c r="M195" s="462"/>
      <c r="N195" s="460">
        <f t="shared" si="52"/>
        <v>0</v>
      </c>
      <c r="P195" s="459">
        <v>4</v>
      </c>
      <c r="Q195" s="465">
        <v>950</v>
      </c>
      <c r="R195" s="466">
        <v>-0.9</v>
      </c>
      <c r="S195" s="466" t="s">
        <v>243</v>
      </c>
      <c r="T195" s="462"/>
      <c r="U195" s="460">
        <f t="shared" si="53"/>
        <v>0</v>
      </c>
    </row>
    <row r="196" spans="1:24" ht="13" x14ac:dyDescent="0.25">
      <c r="A196" s="1033"/>
      <c r="B196" s="459">
        <v>5</v>
      </c>
      <c r="C196" s="465">
        <v>35</v>
      </c>
      <c r="D196" s="465">
        <v>-0.3</v>
      </c>
      <c r="E196" s="466" t="s">
        <v>243</v>
      </c>
      <c r="F196" s="462"/>
      <c r="G196" s="460">
        <f t="shared" si="51"/>
        <v>0</v>
      </c>
      <c r="I196" s="459">
        <v>5</v>
      </c>
      <c r="J196" s="465">
        <v>70</v>
      </c>
      <c r="K196" s="465">
        <v>-0.3</v>
      </c>
      <c r="L196" s="466" t="s">
        <v>243</v>
      </c>
      <c r="M196" s="462"/>
      <c r="N196" s="460">
        <f t="shared" si="52"/>
        <v>0</v>
      </c>
      <c r="P196" s="459">
        <v>5</v>
      </c>
      <c r="Q196" s="465">
        <v>1000</v>
      </c>
      <c r="R196" s="466">
        <v>-0.8</v>
      </c>
      <c r="S196" s="466" t="s">
        <v>243</v>
      </c>
      <c r="T196" s="462"/>
      <c r="U196" s="460">
        <f t="shared" si="53"/>
        <v>0</v>
      </c>
    </row>
    <row r="197" spans="1:24" ht="13" x14ac:dyDescent="0.25">
      <c r="A197" s="1033"/>
      <c r="B197" s="459">
        <v>6</v>
      </c>
      <c r="C197" s="465">
        <v>37</v>
      </c>
      <c r="D197" s="465">
        <v>-0.3</v>
      </c>
      <c r="E197" s="466" t="s">
        <v>243</v>
      </c>
      <c r="F197" s="462"/>
      <c r="G197" s="460">
        <f t="shared" si="51"/>
        <v>0</v>
      </c>
      <c r="I197" s="459">
        <v>6</v>
      </c>
      <c r="J197" s="465">
        <v>80</v>
      </c>
      <c r="K197" s="465">
        <v>-0.5</v>
      </c>
      <c r="L197" s="466" t="s">
        <v>243</v>
      </c>
      <c r="M197" s="462"/>
      <c r="N197" s="460">
        <f t="shared" si="52"/>
        <v>0</v>
      </c>
      <c r="P197" s="459">
        <v>6</v>
      </c>
      <c r="Q197" s="465">
        <v>1005</v>
      </c>
      <c r="R197" s="466">
        <v>-0.7</v>
      </c>
      <c r="S197" s="466" t="s">
        <v>243</v>
      </c>
      <c r="T197" s="462"/>
      <c r="U197" s="460">
        <f t="shared" si="53"/>
        <v>0</v>
      </c>
    </row>
    <row r="198" spans="1:24" ht="13" x14ac:dyDescent="0.25">
      <c r="A198" s="1033"/>
      <c r="B198" s="459">
        <v>7</v>
      </c>
      <c r="C198" s="472">
        <v>40</v>
      </c>
      <c r="D198" s="465">
        <v>-0.4</v>
      </c>
      <c r="E198" s="466" t="s">
        <v>243</v>
      </c>
      <c r="F198" s="462"/>
      <c r="G198" s="460">
        <f t="shared" si="51"/>
        <v>0</v>
      </c>
      <c r="I198" s="459">
        <v>7</v>
      </c>
      <c r="J198" s="472">
        <v>90</v>
      </c>
      <c r="K198" s="465">
        <v>-0.8</v>
      </c>
      <c r="L198" s="466" t="s">
        <v>243</v>
      </c>
      <c r="M198" s="462"/>
      <c r="N198" s="460">
        <f t="shared" si="52"/>
        <v>0</v>
      </c>
      <c r="P198" s="459">
        <v>7</v>
      </c>
      <c r="Q198" s="465">
        <v>1020</v>
      </c>
      <c r="R198" s="466">
        <v>9.9999999999999995E-7</v>
      </c>
      <c r="S198" s="466" t="s">
        <v>243</v>
      </c>
      <c r="T198" s="462"/>
      <c r="U198" s="460">
        <f t="shared" si="53"/>
        <v>0</v>
      </c>
    </row>
    <row r="199" spans="1:24" ht="13" thickBot="1" x14ac:dyDescent="0.3">
      <c r="A199" s="473"/>
      <c r="C199" s="474"/>
      <c r="D199" s="452"/>
      <c r="E199" s="475"/>
      <c r="F199" s="474"/>
      <c r="I199" s="474"/>
      <c r="J199" s="452"/>
      <c r="K199" s="475"/>
      <c r="L199" s="474"/>
      <c r="O199" s="452"/>
      <c r="P199" s="475"/>
      <c r="Q199" s="475"/>
      <c r="R199" s="474"/>
    </row>
    <row r="200" spans="1:24" x14ac:dyDescent="0.25">
      <c r="A200" s="1033">
        <v>19</v>
      </c>
      <c r="B200" s="1034" t="s">
        <v>295</v>
      </c>
      <c r="C200" s="1034"/>
      <c r="D200" s="1034"/>
      <c r="E200" s="1034"/>
      <c r="F200" s="1034"/>
      <c r="G200" s="1034"/>
      <c r="I200" s="1034" t="str">
        <f>B200</f>
        <v>KOREKSI EXTECH A.100615</v>
      </c>
      <c r="J200" s="1034"/>
      <c r="K200" s="1034"/>
      <c r="L200" s="1034"/>
      <c r="M200" s="1034"/>
      <c r="N200" s="1034"/>
      <c r="P200" s="1034" t="str">
        <f>I200</f>
        <v>KOREKSI EXTECH A.100615</v>
      </c>
      <c r="Q200" s="1034"/>
      <c r="R200" s="1034"/>
      <c r="S200" s="1034"/>
      <c r="T200" s="1034"/>
      <c r="U200" s="1034"/>
      <c r="W200" s="1028" t="s">
        <v>222</v>
      </c>
      <c r="X200" s="1029"/>
    </row>
    <row r="201" spans="1:24" ht="13" x14ac:dyDescent="0.25">
      <c r="A201" s="1033"/>
      <c r="B201" s="1030" t="s">
        <v>270</v>
      </c>
      <c r="C201" s="1030"/>
      <c r="D201" s="1030" t="s">
        <v>271</v>
      </c>
      <c r="E201" s="1030"/>
      <c r="F201" s="1030"/>
      <c r="G201" s="1030" t="s">
        <v>272</v>
      </c>
      <c r="I201" s="1030" t="s">
        <v>273</v>
      </c>
      <c r="J201" s="1030"/>
      <c r="K201" s="1030" t="s">
        <v>271</v>
      </c>
      <c r="L201" s="1030"/>
      <c r="M201" s="1030"/>
      <c r="N201" s="1030" t="s">
        <v>272</v>
      </c>
      <c r="P201" s="1030" t="s">
        <v>274</v>
      </c>
      <c r="Q201" s="1030"/>
      <c r="R201" s="1030" t="s">
        <v>271</v>
      </c>
      <c r="S201" s="1030"/>
      <c r="T201" s="1030"/>
      <c r="U201" s="1030" t="s">
        <v>272</v>
      </c>
      <c r="W201" s="457" t="s">
        <v>270</v>
      </c>
      <c r="X201" s="458">
        <v>0.1</v>
      </c>
    </row>
    <row r="202" spans="1:24" ht="14.5" x14ac:dyDescent="0.25">
      <c r="A202" s="1033"/>
      <c r="B202" s="1031" t="s">
        <v>275</v>
      </c>
      <c r="C202" s="1031"/>
      <c r="D202" s="438">
        <v>2021</v>
      </c>
      <c r="E202" s="440" t="s">
        <v>243</v>
      </c>
      <c r="F202" s="438">
        <v>2016</v>
      </c>
      <c r="G202" s="1030"/>
      <c r="I202" s="1032" t="s">
        <v>276</v>
      </c>
      <c r="J202" s="1031"/>
      <c r="K202" s="471">
        <f>D202</f>
        <v>2021</v>
      </c>
      <c r="L202" s="471" t="str">
        <f>E202</f>
        <v>-</v>
      </c>
      <c r="M202" s="438">
        <v>2016</v>
      </c>
      <c r="N202" s="1030"/>
      <c r="P202" s="1032" t="s">
        <v>277</v>
      </c>
      <c r="Q202" s="1031"/>
      <c r="R202" s="471">
        <f>K202</f>
        <v>2021</v>
      </c>
      <c r="S202" s="471" t="str">
        <f>L202</f>
        <v>-</v>
      </c>
      <c r="T202" s="438">
        <v>2016</v>
      </c>
      <c r="U202" s="1030"/>
      <c r="W202" s="457" t="s">
        <v>276</v>
      </c>
      <c r="X202" s="458">
        <v>1.5</v>
      </c>
    </row>
    <row r="203" spans="1:24" ht="13.5" thickBot="1" x14ac:dyDescent="0.3">
      <c r="A203" s="1033"/>
      <c r="B203" s="459">
        <v>1</v>
      </c>
      <c r="C203" s="36">
        <v>15</v>
      </c>
      <c r="D203" s="32">
        <v>9.9999999999999995E-7</v>
      </c>
      <c r="E203" s="32" t="s">
        <v>243</v>
      </c>
      <c r="F203" s="462"/>
      <c r="G203" s="460">
        <f>0.5*(MAX(D203:F203)-MIN(D203:F203))</f>
        <v>0</v>
      </c>
      <c r="I203" s="459">
        <v>1</v>
      </c>
      <c r="J203" s="36">
        <v>30</v>
      </c>
      <c r="K203" s="36">
        <v>-1.5</v>
      </c>
      <c r="L203" s="32" t="s">
        <v>243</v>
      </c>
      <c r="M203" s="462"/>
      <c r="N203" s="460">
        <f>0.5*(MAX(K203:M203)-MIN(K203:M203))</f>
        <v>0</v>
      </c>
      <c r="P203" s="459">
        <v>1</v>
      </c>
      <c r="Q203" s="36">
        <v>750</v>
      </c>
      <c r="R203" s="31">
        <v>2.5</v>
      </c>
      <c r="S203" s="32" t="s">
        <v>243</v>
      </c>
      <c r="T203" s="462"/>
      <c r="U203" s="460">
        <f>0.5*(MAX(R203:T203)-MIN(R203:T203))</f>
        <v>0</v>
      </c>
      <c r="W203" s="463" t="s">
        <v>277</v>
      </c>
      <c r="X203" s="464">
        <v>0.4</v>
      </c>
    </row>
    <row r="204" spans="1:24" ht="13" x14ac:dyDescent="0.25">
      <c r="A204" s="1033"/>
      <c r="B204" s="459">
        <v>2</v>
      </c>
      <c r="C204" s="36">
        <v>20</v>
      </c>
      <c r="D204" s="36">
        <v>0.1</v>
      </c>
      <c r="E204" s="32" t="s">
        <v>243</v>
      </c>
      <c r="F204" s="462"/>
      <c r="G204" s="460">
        <f t="shared" ref="G204:G209" si="54">0.5*(MAX(D204:F204)-MIN(D204:F204))</f>
        <v>0</v>
      </c>
      <c r="I204" s="459">
        <v>2</v>
      </c>
      <c r="J204" s="36">
        <v>40</v>
      </c>
      <c r="K204" s="36">
        <v>-0.8</v>
      </c>
      <c r="L204" s="32" t="s">
        <v>243</v>
      </c>
      <c r="M204" s="462"/>
      <c r="N204" s="460">
        <f t="shared" ref="N204:N209" si="55">0.5*(MAX(K204:M204)-MIN(K204:M204))</f>
        <v>0</v>
      </c>
      <c r="P204" s="459">
        <v>2</v>
      </c>
      <c r="Q204" s="36">
        <v>800</v>
      </c>
      <c r="R204" s="31">
        <v>2.5</v>
      </c>
      <c r="S204" s="32" t="s">
        <v>243</v>
      </c>
      <c r="T204" s="462"/>
      <c r="U204" s="460">
        <f t="shared" ref="U204:U209" si="56">0.5*(MAX(R204:T204)-MIN(R204:T204))</f>
        <v>0</v>
      </c>
    </row>
    <row r="205" spans="1:24" ht="13" x14ac:dyDescent="0.25">
      <c r="A205" s="1033"/>
      <c r="B205" s="459">
        <v>3</v>
      </c>
      <c r="C205" s="36">
        <v>25</v>
      </c>
      <c r="D205" s="32">
        <v>9.9999999999999995E-7</v>
      </c>
      <c r="E205" s="32" t="s">
        <v>243</v>
      </c>
      <c r="F205" s="462"/>
      <c r="G205" s="460">
        <f t="shared" si="54"/>
        <v>0</v>
      </c>
      <c r="I205" s="459">
        <v>3</v>
      </c>
      <c r="J205" s="36">
        <v>50</v>
      </c>
      <c r="K205" s="36">
        <v>-0.2</v>
      </c>
      <c r="L205" s="32" t="s">
        <v>243</v>
      </c>
      <c r="M205" s="462"/>
      <c r="N205" s="460">
        <f t="shared" si="55"/>
        <v>0</v>
      </c>
      <c r="P205" s="459">
        <v>3</v>
      </c>
      <c r="Q205" s="36">
        <v>850</v>
      </c>
      <c r="R205" s="31">
        <v>2.4</v>
      </c>
      <c r="S205" s="32" t="s">
        <v>243</v>
      </c>
      <c r="T205" s="462"/>
      <c r="U205" s="460">
        <f t="shared" si="56"/>
        <v>0</v>
      </c>
    </row>
    <row r="206" spans="1:24" ht="13" x14ac:dyDescent="0.25">
      <c r="A206" s="1033"/>
      <c r="B206" s="459">
        <v>4</v>
      </c>
      <c r="C206" s="465">
        <v>30</v>
      </c>
      <c r="D206" s="465">
        <v>-0.1</v>
      </c>
      <c r="E206" s="466" t="s">
        <v>243</v>
      </c>
      <c r="F206" s="462"/>
      <c r="G206" s="460">
        <f t="shared" si="54"/>
        <v>0</v>
      </c>
      <c r="I206" s="459">
        <v>4</v>
      </c>
      <c r="J206" s="465">
        <v>60</v>
      </c>
      <c r="K206" s="465">
        <v>0.4</v>
      </c>
      <c r="L206" s="466" t="s">
        <v>243</v>
      </c>
      <c r="M206" s="462"/>
      <c r="N206" s="460">
        <f t="shared" si="55"/>
        <v>0</v>
      </c>
      <c r="P206" s="459">
        <v>4</v>
      </c>
      <c r="Q206" s="465">
        <v>900</v>
      </c>
      <c r="R206" s="466">
        <v>2.2999999999999998</v>
      </c>
      <c r="S206" s="466" t="s">
        <v>243</v>
      </c>
      <c r="T206" s="462"/>
      <c r="U206" s="460">
        <f t="shared" si="56"/>
        <v>0</v>
      </c>
    </row>
    <row r="207" spans="1:24" ht="13" x14ac:dyDescent="0.25">
      <c r="A207" s="1033"/>
      <c r="B207" s="459">
        <v>5</v>
      </c>
      <c r="C207" s="465">
        <v>35</v>
      </c>
      <c r="D207" s="465">
        <v>-0.1</v>
      </c>
      <c r="E207" s="466" t="s">
        <v>243</v>
      </c>
      <c r="F207" s="462"/>
      <c r="G207" s="460">
        <f t="shared" si="54"/>
        <v>0</v>
      </c>
      <c r="I207" s="459">
        <v>5</v>
      </c>
      <c r="J207" s="465">
        <v>70</v>
      </c>
      <c r="K207" s="465">
        <v>-0.7</v>
      </c>
      <c r="L207" s="466" t="s">
        <v>243</v>
      </c>
      <c r="M207" s="462"/>
      <c r="N207" s="460">
        <f t="shared" si="55"/>
        <v>0</v>
      </c>
      <c r="P207" s="459">
        <v>5</v>
      </c>
      <c r="Q207" s="465">
        <v>1000</v>
      </c>
      <c r="R207" s="466">
        <v>2.2000000000000002</v>
      </c>
      <c r="S207" s="466" t="s">
        <v>243</v>
      </c>
      <c r="T207" s="462"/>
      <c r="U207" s="460">
        <f t="shared" si="56"/>
        <v>0</v>
      </c>
    </row>
    <row r="208" spans="1:24" ht="13" x14ac:dyDescent="0.25">
      <c r="A208" s="1033"/>
      <c r="B208" s="459">
        <v>6</v>
      </c>
      <c r="C208" s="465">
        <v>37</v>
      </c>
      <c r="D208" s="32">
        <v>9.9999999999999995E-7</v>
      </c>
      <c r="E208" s="466" t="s">
        <v>243</v>
      </c>
      <c r="F208" s="462"/>
      <c r="G208" s="460">
        <f t="shared" si="54"/>
        <v>0</v>
      </c>
      <c r="I208" s="459">
        <v>6</v>
      </c>
      <c r="J208" s="465">
        <v>80</v>
      </c>
      <c r="K208" s="465">
        <v>-0.9</v>
      </c>
      <c r="L208" s="466" t="s">
        <v>243</v>
      </c>
      <c r="M208" s="462"/>
      <c r="N208" s="460">
        <f t="shared" si="55"/>
        <v>0</v>
      </c>
      <c r="P208" s="459">
        <v>6</v>
      </c>
      <c r="Q208" s="465">
        <v>1005</v>
      </c>
      <c r="R208" s="466">
        <v>2.2000000000000002</v>
      </c>
      <c r="S208" s="466" t="s">
        <v>243</v>
      </c>
      <c r="T208" s="462"/>
      <c r="U208" s="460">
        <f t="shared" si="56"/>
        <v>0</v>
      </c>
    </row>
    <row r="209" spans="1:31" ht="13" x14ac:dyDescent="0.25">
      <c r="A209" s="1033"/>
      <c r="B209" s="459">
        <v>7</v>
      </c>
      <c r="C209" s="472">
        <v>40</v>
      </c>
      <c r="D209" s="465">
        <v>0.2</v>
      </c>
      <c r="E209" s="466" t="s">
        <v>243</v>
      </c>
      <c r="F209" s="462"/>
      <c r="G209" s="460">
        <f t="shared" si="54"/>
        <v>0</v>
      </c>
      <c r="I209" s="459">
        <v>7</v>
      </c>
      <c r="J209" s="472">
        <v>90</v>
      </c>
      <c r="K209" s="465">
        <v>-0.6</v>
      </c>
      <c r="L209" s="466" t="s">
        <v>243</v>
      </c>
      <c r="M209" s="462"/>
      <c r="N209" s="460">
        <f t="shared" si="55"/>
        <v>0</v>
      </c>
      <c r="P209" s="459">
        <v>7</v>
      </c>
      <c r="Q209" s="465">
        <v>1020</v>
      </c>
      <c r="R209" s="466">
        <v>2.2999999999999998</v>
      </c>
      <c r="S209" s="466" t="s">
        <v>243</v>
      </c>
      <c r="T209" s="462"/>
      <c r="U209" s="460">
        <f t="shared" si="56"/>
        <v>0</v>
      </c>
    </row>
    <row r="210" spans="1:31" ht="13" thickBot="1" x14ac:dyDescent="0.3">
      <c r="A210" s="473"/>
      <c r="C210" s="474"/>
      <c r="D210" s="452"/>
      <c r="E210" s="475"/>
      <c r="F210" s="474"/>
      <c r="J210" s="474"/>
      <c r="K210" s="452"/>
      <c r="L210" s="475"/>
      <c r="M210" s="474"/>
      <c r="Q210" s="452"/>
      <c r="R210" s="475"/>
      <c r="S210" s="475"/>
      <c r="T210" s="474"/>
    </row>
    <row r="211" spans="1:31" x14ac:dyDescent="0.25">
      <c r="A211" s="1033">
        <v>20</v>
      </c>
      <c r="B211" s="1034">
        <v>20</v>
      </c>
      <c r="C211" s="1034"/>
      <c r="D211" s="1034"/>
      <c r="E211" s="1034"/>
      <c r="F211" s="1034"/>
      <c r="G211" s="1034"/>
      <c r="I211" s="1034">
        <f>B211</f>
        <v>20</v>
      </c>
      <c r="J211" s="1034"/>
      <c r="K211" s="1034"/>
      <c r="L211" s="1034"/>
      <c r="M211" s="1034"/>
      <c r="N211" s="1034"/>
      <c r="P211" s="1034">
        <f>I211</f>
        <v>20</v>
      </c>
      <c r="Q211" s="1034"/>
      <c r="R211" s="1034"/>
      <c r="S211" s="1034"/>
      <c r="T211" s="1034"/>
      <c r="U211" s="1034"/>
      <c r="W211" s="1028" t="s">
        <v>222</v>
      </c>
      <c r="X211" s="1029"/>
    </row>
    <row r="212" spans="1:31" ht="13" x14ac:dyDescent="0.25">
      <c r="A212" s="1033"/>
      <c r="B212" s="1030" t="s">
        <v>270</v>
      </c>
      <c r="C212" s="1030"/>
      <c r="D212" s="1030" t="s">
        <v>271</v>
      </c>
      <c r="E212" s="1030"/>
      <c r="F212" s="1030"/>
      <c r="G212" s="1030" t="s">
        <v>272</v>
      </c>
      <c r="I212" s="1030" t="s">
        <v>273</v>
      </c>
      <c r="J212" s="1030"/>
      <c r="K212" s="1030" t="s">
        <v>271</v>
      </c>
      <c r="L212" s="1030"/>
      <c r="M212" s="1030"/>
      <c r="N212" s="1030" t="s">
        <v>272</v>
      </c>
      <c r="P212" s="1030" t="s">
        <v>274</v>
      </c>
      <c r="Q212" s="1030"/>
      <c r="R212" s="1030" t="s">
        <v>271</v>
      </c>
      <c r="S212" s="1030"/>
      <c r="T212" s="1030"/>
      <c r="U212" s="1030" t="s">
        <v>272</v>
      </c>
      <c r="W212" s="457" t="s">
        <v>270</v>
      </c>
      <c r="X212" s="458">
        <v>0</v>
      </c>
    </row>
    <row r="213" spans="1:31" ht="14.5" x14ac:dyDescent="0.25">
      <c r="A213" s="1033"/>
      <c r="B213" s="1031" t="s">
        <v>275</v>
      </c>
      <c r="C213" s="1031"/>
      <c r="D213" s="438">
        <v>2017</v>
      </c>
      <c r="E213" s="440" t="s">
        <v>243</v>
      </c>
      <c r="F213" s="438">
        <v>2016</v>
      </c>
      <c r="G213" s="1030"/>
      <c r="I213" s="1032" t="s">
        <v>276</v>
      </c>
      <c r="J213" s="1031"/>
      <c r="K213" s="471">
        <f>D213</f>
        <v>2017</v>
      </c>
      <c r="L213" s="471" t="str">
        <f>E213</f>
        <v>-</v>
      </c>
      <c r="M213" s="438">
        <v>2016</v>
      </c>
      <c r="N213" s="1030"/>
      <c r="P213" s="1032" t="s">
        <v>277</v>
      </c>
      <c r="Q213" s="1031"/>
      <c r="R213" s="471">
        <f>K213</f>
        <v>2017</v>
      </c>
      <c r="S213" s="471" t="str">
        <f>L213</f>
        <v>-</v>
      </c>
      <c r="T213" s="438">
        <v>2016</v>
      </c>
      <c r="U213" s="1030"/>
      <c r="W213" s="457" t="s">
        <v>276</v>
      </c>
      <c r="X213" s="458">
        <v>0</v>
      </c>
    </row>
    <row r="214" spans="1:31" ht="13.5" thickBot="1" x14ac:dyDescent="0.3">
      <c r="A214" s="1033"/>
      <c r="B214" s="459">
        <v>1</v>
      </c>
      <c r="C214" s="36">
        <v>14.8</v>
      </c>
      <c r="D214" s="32">
        <v>9.9999999999999995E-7</v>
      </c>
      <c r="E214" s="32" t="s">
        <v>243</v>
      </c>
      <c r="F214" s="32">
        <v>9.9999999999999995E-7</v>
      </c>
      <c r="G214" s="460">
        <f>0.5*(MAX(D214:F214)-MIN(D214:F214))</f>
        <v>0</v>
      </c>
      <c r="I214" s="459">
        <v>1</v>
      </c>
      <c r="J214" s="36">
        <v>45.7</v>
      </c>
      <c r="K214" s="32">
        <v>9.9999999999999995E-7</v>
      </c>
      <c r="L214" s="32" t="s">
        <v>243</v>
      </c>
      <c r="M214" s="462"/>
      <c r="N214" s="460">
        <f>0.5*(MAX(K214:M214)-MIN(K214:M214))</f>
        <v>0</v>
      </c>
      <c r="P214" s="459">
        <v>1</v>
      </c>
      <c r="Q214" s="36">
        <v>750</v>
      </c>
      <c r="R214" s="31" t="s">
        <v>243</v>
      </c>
      <c r="S214" s="32" t="s">
        <v>243</v>
      </c>
      <c r="T214" s="462"/>
      <c r="U214" s="460">
        <f>0.5*(MAX(R214:T214)-MIN(R214:T214))</f>
        <v>0</v>
      </c>
      <c r="W214" s="463" t="s">
        <v>277</v>
      </c>
      <c r="X214" s="464">
        <v>0</v>
      </c>
    </row>
    <row r="215" spans="1:31" ht="13" x14ac:dyDescent="0.25">
      <c r="A215" s="1033"/>
      <c r="B215" s="459">
        <v>2</v>
      </c>
      <c r="C215" s="36">
        <v>19.7</v>
      </c>
      <c r="D215" s="32">
        <v>9.9999999999999995E-7</v>
      </c>
      <c r="E215" s="32" t="s">
        <v>243</v>
      </c>
      <c r="F215" s="32">
        <v>9.9999999999999995E-7</v>
      </c>
      <c r="G215" s="460">
        <f t="shared" ref="G215:G220" si="57">0.5*(MAX(D215:F215)-MIN(D215:F215))</f>
        <v>0</v>
      </c>
      <c r="I215" s="459">
        <v>2</v>
      </c>
      <c r="J215" s="36">
        <v>54.3</v>
      </c>
      <c r="K215" s="32">
        <v>9.9999999999999995E-7</v>
      </c>
      <c r="L215" s="32" t="s">
        <v>243</v>
      </c>
      <c r="M215" s="462"/>
      <c r="N215" s="460">
        <f t="shared" ref="N215:N220" si="58">0.5*(MAX(K215:M215)-MIN(K215:M215))</f>
        <v>0</v>
      </c>
      <c r="P215" s="459">
        <v>2</v>
      </c>
      <c r="Q215" s="36">
        <v>800</v>
      </c>
      <c r="R215" s="31" t="s">
        <v>243</v>
      </c>
      <c r="S215" s="32" t="s">
        <v>243</v>
      </c>
      <c r="T215" s="462"/>
      <c r="U215" s="460">
        <f t="shared" ref="U215:U220" si="59">0.5*(MAX(R215:T215)-MIN(R215:T215))</f>
        <v>0</v>
      </c>
    </row>
    <row r="216" spans="1:31" ht="13" x14ac:dyDescent="0.25">
      <c r="A216" s="1033"/>
      <c r="B216" s="459">
        <v>3</v>
      </c>
      <c r="C216" s="36">
        <v>24.6</v>
      </c>
      <c r="D216" s="32">
        <v>9.9999999999999995E-7</v>
      </c>
      <c r="E216" s="32" t="s">
        <v>243</v>
      </c>
      <c r="F216" s="32">
        <v>9.9999999999999995E-7</v>
      </c>
      <c r="G216" s="460">
        <f t="shared" si="57"/>
        <v>0</v>
      </c>
      <c r="I216" s="459">
        <v>3</v>
      </c>
      <c r="J216" s="36">
        <v>62.5</v>
      </c>
      <c r="K216" s="32">
        <v>9.9999999999999995E-7</v>
      </c>
      <c r="L216" s="32" t="s">
        <v>243</v>
      </c>
      <c r="M216" s="462"/>
      <c r="N216" s="460">
        <f t="shared" si="58"/>
        <v>0</v>
      </c>
      <c r="P216" s="459">
        <v>3</v>
      </c>
      <c r="Q216" s="36">
        <v>850</v>
      </c>
      <c r="R216" s="31" t="s">
        <v>243</v>
      </c>
      <c r="S216" s="32" t="s">
        <v>243</v>
      </c>
      <c r="T216" s="462"/>
      <c r="U216" s="460">
        <f t="shared" si="59"/>
        <v>0</v>
      </c>
    </row>
    <row r="217" spans="1:31" ht="13" x14ac:dyDescent="0.25">
      <c r="A217" s="1033"/>
      <c r="B217" s="459">
        <v>4</v>
      </c>
      <c r="C217" s="465">
        <v>29.5</v>
      </c>
      <c r="D217" s="32">
        <v>9.9999999999999995E-7</v>
      </c>
      <c r="E217" s="466" t="s">
        <v>243</v>
      </c>
      <c r="F217" s="32">
        <v>9.9999999999999995E-7</v>
      </c>
      <c r="G217" s="460">
        <f t="shared" si="57"/>
        <v>0</v>
      </c>
      <c r="I217" s="459">
        <v>4</v>
      </c>
      <c r="J217" s="465">
        <v>71.5</v>
      </c>
      <c r="K217" s="32">
        <v>9.9999999999999995E-7</v>
      </c>
      <c r="L217" s="466" t="s">
        <v>243</v>
      </c>
      <c r="M217" s="462"/>
      <c r="N217" s="460">
        <f t="shared" si="58"/>
        <v>0</v>
      </c>
      <c r="P217" s="459">
        <v>4</v>
      </c>
      <c r="Q217" s="465">
        <v>900</v>
      </c>
      <c r="R217" s="466" t="s">
        <v>243</v>
      </c>
      <c r="S217" s="466" t="s">
        <v>243</v>
      </c>
      <c r="T217" s="462"/>
      <c r="U217" s="460">
        <f t="shared" si="59"/>
        <v>0</v>
      </c>
    </row>
    <row r="218" spans="1:31" ht="13" x14ac:dyDescent="0.25">
      <c r="A218" s="1033"/>
      <c r="B218" s="459">
        <v>5</v>
      </c>
      <c r="C218" s="465">
        <v>34.5</v>
      </c>
      <c r="D218" s="32">
        <v>9.9999999999999995E-7</v>
      </c>
      <c r="E218" s="466" t="s">
        <v>243</v>
      </c>
      <c r="F218" s="32">
        <v>9.9999999999999995E-7</v>
      </c>
      <c r="G218" s="460">
        <f t="shared" si="57"/>
        <v>0</v>
      </c>
      <c r="I218" s="459">
        <v>5</v>
      </c>
      <c r="J218" s="465">
        <v>80.8</v>
      </c>
      <c r="K218" s="32">
        <v>9.9999999999999995E-7</v>
      </c>
      <c r="L218" s="466" t="s">
        <v>243</v>
      </c>
      <c r="M218" s="462"/>
      <c r="N218" s="460">
        <f t="shared" si="58"/>
        <v>0</v>
      </c>
      <c r="P218" s="459">
        <v>5</v>
      </c>
      <c r="Q218" s="465">
        <v>1000</v>
      </c>
      <c r="R218" s="466" t="s">
        <v>243</v>
      </c>
      <c r="S218" s="466" t="s">
        <v>243</v>
      </c>
      <c r="T218" s="462"/>
      <c r="U218" s="460">
        <f t="shared" si="59"/>
        <v>0</v>
      </c>
    </row>
    <row r="219" spans="1:31" ht="13" x14ac:dyDescent="0.25">
      <c r="A219" s="1033"/>
      <c r="B219" s="459">
        <v>6</v>
      </c>
      <c r="C219" s="465">
        <v>39.5</v>
      </c>
      <c r="D219" s="32">
        <v>9.9999999999999995E-7</v>
      </c>
      <c r="E219" s="466" t="s">
        <v>243</v>
      </c>
      <c r="F219" s="32">
        <v>9.9999999999999995E-7</v>
      </c>
      <c r="G219" s="460">
        <f t="shared" si="57"/>
        <v>0</v>
      </c>
      <c r="I219" s="459">
        <v>6</v>
      </c>
      <c r="J219" s="465">
        <v>88.7</v>
      </c>
      <c r="K219" s="32">
        <v>9.9999999999999995E-7</v>
      </c>
      <c r="L219" s="466" t="s">
        <v>243</v>
      </c>
      <c r="M219" s="462"/>
      <c r="N219" s="460">
        <f t="shared" si="58"/>
        <v>0</v>
      </c>
      <c r="P219" s="459">
        <v>6</v>
      </c>
      <c r="Q219" s="465">
        <v>1005</v>
      </c>
      <c r="R219" s="466" t="s">
        <v>243</v>
      </c>
      <c r="S219" s="466" t="s">
        <v>243</v>
      </c>
      <c r="T219" s="462"/>
      <c r="U219" s="460">
        <f t="shared" si="59"/>
        <v>0</v>
      </c>
    </row>
    <row r="220" spans="1:31" ht="13" x14ac:dyDescent="0.25">
      <c r="A220" s="1033"/>
      <c r="B220" s="459">
        <v>7</v>
      </c>
      <c r="C220" s="472">
        <v>40</v>
      </c>
      <c r="D220" s="32">
        <v>9.9999999999999995E-7</v>
      </c>
      <c r="E220" s="466" t="s">
        <v>243</v>
      </c>
      <c r="F220" s="32">
        <v>9.9999999999999995E-7</v>
      </c>
      <c r="G220" s="460">
        <f t="shared" si="57"/>
        <v>0</v>
      </c>
      <c r="I220" s="459">
        <v>7</v>
      </c>
      <c r="J220" s="472">
        <v>90</v>
      </c>
      <c r="K220" s="32">
        <v>9.9999999999999995E-7</v>
      </c>
      <c r="L220" s="466" t="s">
        <v>243</v>
      </c>
      <c r="M220" s="462"/>
      <c r="N220" s="460">
        <f t="shared" si="58"/>
        <v>0</v>
      </c>
      <c r="P220" s="459">
        <v>7</v>
      </c>
      <c r="Q220" s="465">
        <v>1020</v>
      </c>
      <c r="R220" s="466" t="s">
        <v>243</v>
      </c>
      <c r="S220" s="466" t="s">
        <v>243</v>
      </c>
      <c r="T220" s="462"/>
      <c r="U220" s="460">
        <f t="shared" si="59"/>
        <v>0</v>
      </c>
    </row>
    <row r="221" spans="1:31" ht="13.5" thickBot="1" x14ac:dyDescent="0.35">
      <c r="A221" s="478"/>
      <c r="B221" s="1058"/>
      <c r="C221" s="1058"/>
      <c r="D221" s="1058"/>
      <c r="E221" s="1058"/>
      <c r="F221" s="1058"/>
      <c r="G221" s="1058"/>
      <c r="H221" s="1058"/>
      <c r="I221" s="1058"/>
      <c r="J221" s="1058"/>
      <c r="K221" s="1058"/>
      <c r="L221" s="1058"/>
      <c r="M221" s="1058"/>
      <c r="N221" s="1058"/>
      <c r="O221" s="1058"/>
      <c r="P221" s="1058"/>
      <c r="Q221" s="1058"/>
      <c r="R221" s="1058"/>
      <c r="S221" s="1058"/>
      <c r="T221" s="1058"/>
      <c r="U221" s="1058"/>
    </row>
    <row r="222" spans="1:31" ht="13.5" thickBot="1" x14ac:dyDescent="0.35">
      <c r="A222" s="441"/>
      <c r="B222" s="441"/>
      <c r="C222" s="441"/>
      <c r="D222" s="441"/>
      <c r="E222" s="441"/>
      <c r="F222" s="441"/>
      <c r="G222" s="441"/>
      <c r="H222" s="441"/>
      <c r="I222" s="441"/>
      <c r="J222" s="441"/>
      <c r="K222" s="441"/>
      <c r="L222" s="441"/>
      <c r="M222" s="441"/>
      <c r="N222" s="441"/>
      <c r="O222" s="441"/>
      <c r="P222" s="441"/>
    </row>
    <row r="223" spans="1:31" ht="12.75" customHeight="1" x14ac:dyDescent="0.25">
      <c r="A223" s="1043" t="s">
        <v>56</v>
      </c>
      <c r="B223" s="1044" t="s">
        <v>296</v>
      </c>
      <c r="C223" s="1034" t="s">
        <v>297</v>
      </c>
      <c r="D223" s="1034"/>
      <c r="E223" s="1034"/>
      <c r="F223" s="1034"/>
      <c r="G223" s="479"/>
      <c r="I223" s="1043" t="s">
        <v>56</v>
      </c>
      <c r="J223" s="1044" t="s">
        <v>296</v>
      </c>
      <c r="K223" s="1034" t="s">
        <v>297</v>
      </c>
      <c r="L223" s="1034"/>
      <c r="M223" s="1034"/>
      <c r="N223" s="1034"/>
      <c r="O223" s="480"/>
      <c r="Q223" s="1045" t="s">
        <v>56</v>
      </c>
      <c r="R223" s="1046" t="s">
        <v>296</v>
      </c>
      <c r="S223" s="1047" t="s">
        <v>297</v>
      </c>
      <c r="T223" s="1047"/>
      <c r="U223" s="1047"/>
      <c r="V223" s="1048"/>
      <c r="Y223" s="1049" t="s">
        <v>222</v>
      </c>
      <c r="Z223" s="1050"/>
      <c r="AE223" s="481"/>
    </row>
    <row r="224" spans="1:31" ht="13.5" x14ac:dyDescent="0.3">
      <c r="A224" s="1043"/>
      <c r="B224" s="1044"/>
      <c r="C224" s="482" t="s">
        <v>270</v>
      </c>
      <c r="D224" s="1051" t="s">
        <v>271</v>
      </c>
      <c r="E224" s="1051"/>
      <c r="F224" s="1051"/>
      <c r="G224" s="1051" t="s">
        <v>272</v>
      </c>
      <c r="I224" s="1043"/>
      <c r="J224" s="1044"/>
      <c r="K224" s="482" t="s">
        <v>273</v>
      </c>
      <c r="L224" s="1051" t="s">
        <v>271</v>
      </c>
      <c r="M224" s="1051"/>
      <c r="N224" s="1051"/>
      <c r="O224" s="1051" t="s">
        <v>272</v>
      </c>
      <c r="Q224" s="1043"/>
      <c r="R224" s="1044"/>
      <c r="S224" s="482" t="s">
        <v>274</v>
      </c>
      <c r="T224" s="1052" t="s">
        <v>271</v>
      </c>
      <c r="U224" s="1053"/>
      <c r="V224" s="1054"/>
      <c r="W224" s="1055" t="s">
        <v>272</v>
      </c>
      <c r="Y224" s="1056" t="s">
        <v>270</v>
      </c>
      <c r="Z224" s="1057"/>
      <c r="AE224" s="441"/>
    </row>
    <row r="225" spans="1:38" ht="14" x14ac:dyDescent="0.3">
      <c r="A225" s="1043"/>
      <c r="B225" s="1044"/>
      <c r="C225" s="483" t="s">
        <v>298</v>
      </c>
      <c r="D225" s="482"/>
      <c r="E225" s="482"/>
      <c r="F225" s="480"/>
      <c r="G225" s="1051"/>
      <c r="I225" s="1043"/>
      <c r="J225" s="1044"/>
      <c r="K225" s="483" t="s">
        <v>276</v>
      </c>
      <c r="L225" s="482"/>
      <c r="M225" s="482"/>
      <c r="N225" s="480"/>
      <c r="O225" s="1051"/>
      <c r="Q225" s="1043"/>
      <c r="R225" s="1044"/>
      <c r="S225" s="483" t="s">
        <v>277</v>
      </c>
      <c r="T225" s="482"/>
      <c r="U225" s="482"/>
      <c r="W225" s="1055"/>
      <c r="Y225" s="484">
        <v>1</v>
      </c>
      <c r="Z225" s="485">
        <f>X3</f>
        <v>0.6</v>
      </c>
      <c r="AE225" s="441"/>
    </row>
    <row r="226" spans="1:38" ht="13" x14ac:dyDescent="0.3">
      <c r="A226" s="1059">
        <v>1</v>
      </c>
      <c r="B226" s="486">
        <v>1</v>
      </c>
      <c r="C226" s="486">
        <f>C5</f>
        <v>15</v>
      </c>
      <c r="D226" s="486">
        <f>D5</f>
        <v>-0.5</v>
      </c>
      <c r="E226" s="486">
        <f>E5</f>
        <v>0.3</v>
      </c>
      <c r="F226" s="486">
        <f>F5</f>
        <v>0</v>
      </c>
      <c r="G226" s="486">
        <f>G5</f>
        <v>0.4</v>
      </c>
      <c r="I226" s="1059">
        <v>1</v>
      </c>
      <c r="J226" s="486">
        <v>1</v>
      </c>
      <c r="K226" s="486">
        <f>J5</f>
        <v>35</v>
      </c>
      <c r="L226" s="486">
        <f>K5</f>
        <v>-6</v>
      </c>
      <c r="M226" s="486">
        <f>L5</f>
        <v>-9.4</v>
      </c>
      <c r="N226" s="486">
        <f>M5</f>
        <v>0</v>
      </c>
      <c r="O226" s="486">
        <f>N5</f>
        <v>1.7000000000000002</v>
      </c>
      <c r="Q226" s="1062">
        <v>1</v>
      </c>
      <c r="R226" s="486">
        <v>1</v>
      </c>
      <c r="S226" s="486">
        <f>Q5</f>
        <v>750</v>
      </c>
      <c r="T226" s="486" t="str">
        <f>R5</f>
        <v>-</v>
      </c>
      <c r="U226" s="486" t="str">
        <f>S5</f>
        <v>-</v>
      </c>
      <c r="V226" s="486">
        <f>T5</f>
        <v>0</v>
      </c>
      <c r="W226" s="487">
        <f>U5</f>
        <v>0</v>
      </c>
      <c r="Y226" s="488">
        <v>2</v>
      </c>
      <c r="Z226" s="485">
        <f>X14</f>
        <v>0.8</v>
      </c>
      <c r="AE226" s="441"/>
    </row>
    <row r="227" spans="1:38" ht="13" x14ac:dyDescent="0.3">
      <c r="A227" s="1059"/>
      <c r="B227" s="486">
        <v>2</v>
      </c>
      <c r="C227" s="486">
        <f>C16</f>
        <v>15</v>
      </c>
      <c r="D227" s="486">
        <f>D16</f>
        <v>0.4</v>
      </c>
      <c r="E227" s="486">
        <f>E16</f>
        <v>9.9999999999999995E-7</v>
      </c>
      <c r="F227" s="486">
        <f>F16</f>
        <v>0</v>
      </c>
      <c r="G227" s="486">
        <f>G16</f>
        <v>0.19999950000000002</v>
      </c>
      <c r="I227" s="1059"/>
      <c r="J227" s="486">
        <v>2</v>
      </c>
      <c r="K227" s="486">
        <f>J16</f>
        <v>35</v>
      </c>
      <c r="L227" s="486">
        <f>K16</f>
        <v>-6.9</v>
      </c>
      <c r="M227" s="486">
        <f>L16</f>
        <v>-1.6</v>
      </c>
      <c r="N227" s="486">
        <f>M16</f>
        <v>0</v>
      </c>
      <c r="O227" s="486">
        <f>N16</f>
        <v>2.6500000000000004</v>
      </c>
      <c r="Q227" s="1063"/>
      <c r="R227" s="486">
        <v>2</v>
      </c>
      <c r="S227" s="486">
        <f>Q16</f>
        <v>750</v>
      </c>
      <c r="T227" s="486" t="str">
        <f>R16</f>
        <v>-</v>
      </c>
      <c r="U227" s="486" t="str">
        <f>S16</f>
        <v>-</v>
      </c>
      <c r="V227" s="486">
        <f>T16</f>
        <v>0</v>
      </c>
      <c r="W227" s="487">
        <f>U16</f>
        <v>0</v>
      </c>
      <c r="Y227" s="488">
        <v>3</v>
      </c>
      <c r="Z227" s="489">
        <f>X25</f>
        <v>0.5</v>
      </c>
      <c r="AE227" s="441"/>
    </row>
    <row r="228" spans="1:38" ht="13" x14ac:dyDescent="0.3">
      <c r="A228" s="1059"/>
      <c r="B228" s="486">
        <v>3</v>
      </c>
      <c r="C228" s="486">
        <f>C27</f>
        <v>15</v>
      </c>
      <c r="D228" s="486">
        <f>D27</f>
        <v>0.4</v>
      </c>
      <c r="E228" s="486">
        <f>E27</f>
        <v>9.9999999999999995E-7</v>
      </c>
      <c r="F228" s="486">
        <f>F27</f>
        <v>0</v>
      </c>
      <c r="G228" s="486">
        <f>G27</f>
        <v>0.19999950000000002</v>
      </c>
      <c r="I228" s="1059"/>
      <c r="J228" s="486">
        <v>3</v>
      </c>
      <c r="K228" s="486">
        <f>J27</f>
        <v>30</v>
      </c>
      <c r="L228" s="486">
        <f>K27</f>
        <v>-7.3</v>
      </c>
      <c r="M228" s="486">
        <f>L27</f>
        <v>-5.7</v>
      </c>
      <c r="N228" s="486">
        <f>M27</f>
        <v>0</v>
      </c>
      <c r="O228" s="486">
        <f>N27</f>
        <v>0.79999999999999982</v>
      </c>
      <c r="Q228" s="1063"/>
      <c r="R228" s="486">
        <v>3</v>
      </c>
      <c r="S228" s="486">
        <f>Q27</f>
        <v>750</v>
      </c>
      <c r="T228" s="486" t="str">
        <f>R27</f>
        <v>-</v>
      </c>
      <c r="U228" s="486" t="str">
        <f>S27</f>
        <v>-</v>
      </c>
      <c r="V228" s="486">
        <f>T27</f>
        <v>0</v>
      </c>
      <c r="W228" s="487">
        <f>U27</f>
        <v>0</v>
      </c>
      <c r="Y228" s="488">
        <v>4</v>
      </c>
      <c r="Z228" s="489">
        <f>X36</f>
        <v>0.3</v>
      </c>
      <c r="AE228" s="441"/>
    </row>
    <row r="229" spans="1:38" ht="13" x14ac:dyDescent="0.3">
      <c r="A229" s="1059"/>
      <c r="B229" s="486">
        <v>4</v>
      </c>
      <c r="C229" s="490">
        <f>C38</f>
        <v>15</v>
      </c>
      <c r="D229" s="490">
        <f>D38</f>
        <v>-0.2</v>
      </c>
      <c r="E229" s="490">
        <f>E38</f>
        <v>-0.1</v>
      </c>
      <c r="F229" s="490">
        <f>F38</f>
        <v>0</v>
      </c>
      <c r="G229" s="490">
        <f>G38</f>
        <v>0.05</v>
      </c>
      <c r="I229" s="1059"/>
      <c r="J229" s="486">
        <v>4</v>
      </c>
      <c r="K229" s="490">
        <f>J38</f>
        <v>35</v>
      </c>
      <c r="L229" s="490">
        <f>K38</f>
        <v>-4.5</v>
      </c>
      <c r="M229" s="490">
        <f>L38</f>
        <v>-1.7</v>
      </c>
      <c r="N229" s="490">
        <f>M38</f>
        <v>0</v>
      </c>
      <c r="O229" s="490">
        <f>N38</f>
        <v>1.4</v>
      </c>
      <c r="Q229" s="1063"/>
      <c r="R229" s="486">
        <v>4</v>
      </c>
      <c r="S229" s="490">
        <f>Q38</f>
        <v>750</v>
      </c>
      <c r="T229" s="490" t="str">
        <f>R38</f>
        <v>-</v>
      </c>
      <c r="U229" s="490" t="str">
        <f>S38</f>
        <v>-</v>
      </c>
      <c r="V229" s="490">
        <f>T38</f>
        <v>0</v>
      </c>
      <c r="W229" s="491">
        <f>U38</f>
        <v>0</v>
      </c>
      <c r="Y229" s="488">
        <v>5</v>
      </c>
      <c r="Z229" s="489">
        <f>X47</f>
        <v>0.4</v>
      </c>
      <c r="AE229" s="441"/>
    </row>
    <row r="230" spans="1:38" ht="13" x14ac:dyDescent="0.3">
      <c r="A230" s="1059"/>
      <c r="B230" s="486">
        <v>5</v>
      </c>
      <c r="C230" s="490">
        <f>C49</f>
        <v>15</v>
      </c>
      <c r="D230" s="490">
        <f>D49</f>
        <v>-0.3</v>
      </c>
      <c r="E230" s="490">
        <f>E49</f>
        <v>0.3</v>
      </c>
      <c r="F230" s="490">
        <f>F49</f>
        <v>0</v>
      </c>
      <c r="G230" s="490">
        <f>G49</f>
        <v>0.3</v>
      </c>
      <c r="I230" s="1059"/>
      <c r="J230" s="486">
        <v>5</v>
      </c>
      <c r="K230" s="490">
        <f>J49</f>
        <v>35</v>
      </c>
      <c r="L230" s="490">
        <f>K49</f>
        <v>-7.7</v>
      </c>
      <c r="M230" s="490">
        <f>L49</f>
        <v>-9.6</v>
      </c>
      <c r="N230" s="490">
        <f>M49</f>
        <v>0</v>
      </c>
      <c r="O230" s="490">
        <f>N49</f>
        <v>0.94999999999999973</v>
      </c>
      <c r="Q230" s="1063"/>
      <c r="R230" s="486">
        <v>5</v>
      </c>
      <c r="S230" s="490">
        <f>Q49</f>
        <v>750</v>
      </c>
      <c r="T230" s="490" t="str">
        <f>R49</f>
        <v>-</v>
      </c>
      <c r="U230" s="490" t="str">
        <f>S49</f>
        <v>-</v>
      </c>
      <c r="V230" s="490">
        <f>T49</f>
        <v>0</v>
      </c>
      <c r="W230" s="491">
        <f>U49</f>
        <v>0</v>
      </c>
      <c r="Y230" s="484">
        <v>6</v>
      </c>
      <c r="Z230" s="485">
        <f>X58</f>
        <v>0.8</v>
      </c>
      <c r="AE230" s="441"/>
    </row>
    <row r="231" spans="1:38" ht="13" x14ac:dyDescent="0.3">
      <c r="A231" s="1059"/>
      <c r="B231" s="486">
        <v>6</v>
      </c>
      <c r="C231" s="490">
        <f>C60</f>
        <v>15</v>
      </c>
      <c r="D231" s="490">
        <f>D60</f>
        <v>0.4</v>
      </c>
      <c r="E231" s="490">
        <f>E60</f>
        <v>0.4</v>
      </c>
      <c r="F231" s="490">
        <f>F60</f>
        <v>0</v>
      </c>
      <c r="G231" s="490">
        <f>G60</f>
        <v>0</v>
      </c>
      <c r="I231" s="1059"/>
      <c r="J231" s="486">
        <v>6</v>
      </c>
      <c r="K231" s="490">
        <f>J60</f>
        <v>30</v>
      </c>
      <c r="L231" s="490">
        <f>K60</f>
        <v>-1.5</v>
      </c>
      <c r="M231" s="490">
        <f>L60</f>
        <v>1.7</v>
      </c>
      <c r="N231" s="490">
        <f>M60</f>
        <v>0</v>
      </c>
      <c r="O231" s="490">
        <f>N60</f>
        <v>1.6</v>
      </c>
      <c r="Q231" s="1063"/>
      <c r="R231" s="486">
        <v>6</v>
      </c>
      <c r="S231" s="490">
        <f>Q60</f>
        <v>750</v>
      </c>
      <c r="T231" s="490">
        <f>R60</f>
        <v>0.9</v>
      </c>
      <c r="U231" s="490">
        <f>S60</f>
        <v>2.1</v>
      </c>
      <c r="V231" s="490">
        <f>T60</f>
        <v>0</v>
      </c>
      <c r="W231" s="491">
        <f>U60</f>
        <v>0.60000000000000009</v>
      </c>
      <c r="Y231" s="484">
        <v>7</v>
      </c>
      <c r="Z231" s="485">
        <f>X69</f>
        <v>0.2</v>
      </c>
      <c r="AE231" s="441"/>
    </row>
    <row r="232" spans="1:38" ht="13" x14ac:dyDescent="0.3">
      <c r="A232" s="1059"/>
      <c r="B232" s="486">
        <v>7</v>
      </c>
      <c r="C232" s="490">
        <f>C71</f>
        <v>15</v>
      </c>
      <c r="D232" s="490">
        <f>D71</f>
        <v>0.1</v>
      </c>
      <c r="E232" s="490">
        <f>E71</f>
        <v>0.3</v>
      </c>
      <c r="F232" s="490">
        <f>F71</f>
        <v>0</v>
      </c>
      <c r="G232" s="490">
        <f>G71</f>
        <v>9.9999999999999992E-2</v>
      </c>
      <c r="I232" s="1059"/>
      <c r="J232" s="486">
        <v>7</v>
      </c>
      <c r="K232" s="490">
        <f>J71</f>
        <v>30</v>
      </c>
      <c r="L232" s="490">
        <f>K71</f>
        <v>-1.9</v>
      </c>
      <c r="M232" s="490">
        <f>L71</f>
        <v>1.8</v>
      </c>
      <c r="N232" s="490">
        <f>M71</f>
        <v>0</v>
      </c>
      <c r="O232" s="490">
        <f>N71</f>
        <v>1.85</v>
      </c>
      <c r="Q232" s="1063"/>
      <c r="R232" s="486">
        <v>7</v>
      </c>
      <c r="S232" s="490">
        <f>Q71</f>
        <v>750</v>
      </c>
      <c r="T232" s="490">
        <f>R71</f>
        <v>9.9999999999999995E-7</v>
      </c>
      <c r="U232" s="490">
        <f>S71</f>
        <v>3.2</v>
      </c>
      <c r="V232" s="490">
        <f>T71</f>
        <v>0</v>
      </c>
      <c r="W232" s="491">
        <f>U71</f>
        <v>1.5999995</v>
      </c>
      <c r="Y232" s="484">
        <v>8</v>
      </c>
      <c r="Z232" s="485">
        <f>X80</f>
        <v>0.3</v>
      </c>
      <c r="AE232" s="441"/>
    </row>
    <row r="233" spans="1:38" ht="13" x14ac:dyDescent="0.3">
      <c r="A233" s="1059"/>
      <c r="B233" s="486">
        <v>8</v>
      </c>
      <c r="C233" s="490">
        <f>C82</f>
        <v>15</v>
      </c>
      <c r="D233" s="490">
        <f>D82</f>
        <v>0.1</v>
      </c>
      <c r="E233" s="490">
        <f>E82</f>
        <v>9.9999999999999995E-7</v>
      </c>
      <c r="F233" s="490">
        <f>F82</f>
        <v>0</v>
      </c>
      <c r="G233" s="490">
        <f>G82</f>
        <v>4.9999500000000002E-2</v>
      </c>
      <c r="I233" s="1059"/>
      <c r="J233" s="486">
        <v>8</v>
      </c>
      <c r="K233" s="490">
        <f>J82</f>
        <v>30</v>
      </c>
      <c r="L233" s="490">
        <f>K82</f>
        <v>-4</v>
      </c>
      <c r="M233" s="490">
        <f>L82</f>
        <v>-1.4</v>
      </c>
      <c r="N233" s="490">
        <f>M82</f>
        <v>0</v>
      </c>
      <c r="O233" s="490">
        <f>N82</f>
        <v>1.3</v>
      </c>
      <c r="Q233" s="1063"/>
      <c r="R233" s="486">
        <v>8</v>
      </c>
      <c r="S233" s="490">
        <f>Q82</f>
        <v>750</v>
      </c>
      <c r="T233" s="490">
        <f>R82</f>
        <v>9.9999999999999995E-7</v>
      </c>
      <c r="U233" s="490">
        <f>S82</f>
        <v>9.9999999999999995E-7</v>
      </c>
      <c r="V233" s="490">
        <f>T82</f>
        <v>0</v>
      </c>
      <c r="W233" s="491">
        <f>U82</f>
        <v>0</v>
      </c>
      <c r="Y233" s="484">
        <v>9</v>
      </c>
      <c r="Z233" s="485">
        <f>X91</f>
        <v>0.3</v>
      </c>
      <c r="AE233" s="441"/>
    </row>
    <row r="234" spans="1:38" ht="13" x14ac:dyDescent="0.3">
      <c r="A234" s="1059"/>
      <c r="B234" s="486">
        <v>9</v>
      </c>
      <c r="C234" s="490">
        <f>C93</f>
        <v>15</v>
      </c>
      <c r="D234" s="490">
        <f>D93</f>
        <v>9.9999999999999995E-7</v>
      </c>
      <c r="E234" s="490" t="str">
        <f>E93</f>
        <v>-</v>
      </c>
      <c r="F234" s="490">
        <f>F93</f>
        <v>0</v>
      </c>
      <c r="G234" s="490">
        <f>G93</f>
        <v>0</v>
      </c>
      <c r="I234" s="1059"/>
      <c r="J234" s="486">
        <v>9</v>
      </c>
      <c r="K234" s="490">
        <f>J93</f>
        <v>30</v>
      </c>
      <c r="L234" s="490">
        <f>K93</f>
        <v>-1.2</v>
      </c>
      <c r="M234" s="490" t="str">
        <f>L93</f>
        <v>-</v>
      </c>
      <c r="N234" s="490">
        <f>M93</f>
        <v>0</v>
      </c>
      <c r="O234" s="490">
        <f>N93</f>
        <v>0</v>
      </c>
      <c r="Q234" s="1063"/>
      <c r="R234" s="486">
        <v>9</v>
      </c>
      <c r="S234" s="490">
        <f>Q93</f>
        <v>750</v>
      </c>
      <c r="T234" s="490">
        <f>R93</f>
        <v>9.9999999999999995E-7</v>
      </c>
      <c r="U234" s="490" t="str">
        <f>S93</f>
        <v>-</v>
      </c>
      <c r="V234" s="490">
        <f>T93</f>
        <v>0</v>
      </c>
      <c r="W234" s="491">
        <f>U93</f>
        <v>0</v>
      </c>
      <c r="Y234" s="484">
        <v>10</v>
      </c>
      <c r="Z234" s="485">
        <f>X102</f>
        <v>0.3</v>
      </c>
      <c r="AE234" s="441"/>
    </row>
    <row r="235" spans="1:38" ht="13" x14ac:dyDescent="0.3">
      <c r="A235" s="1059"/>
      <c r="B235" s="486">
        <v>10</v>
      </c>
      <c r="C235" s="490">
        <f>C104</f>
        <v>15</v>
      </c>
      <c r="D235" s="490">
        <f>D104</f>
        <v>0.2</v>
      </c>
      <c r="E235" s="490">
        <f>E104</f>
        <v>0.2</v>
      </c>
      <c r="F235" s="490">
        <f>F104</f>
        <v>0</v>
      </c>
      <c r="G235" s="490">
        <f>G104</f>
        <v>0</v>
      </c>
      <c r="I235" s="1059"/>
      <c r="J235" s="486">
        <v>10</v>
      </c>
      <c r="K235" s="490">
        <f>J104</f>
        <v>30</v>
      </c>
      <c r="L235" s="490">
        <f>K104</f>
        <v>-2.9</v>
      </c>
      <c r="M235" s="490">
        <f>L104</f>
        <v>-5.8</v>
      </c>
      <c r="N235" s="490">
        <f>M104</f>
        <v>0</v>
      </c>
      <c r="O235" s="490">
        <f>N104</f>
        <v>1.45</v>
      </c>
      <c r="Q235" s="1063"/>
      <c r="R235" s="486">
        <v>10</v>
      </c>
      <c r="S235" s="490">
        <f>Q104</f>
        <v>750</v>
      </c>
      <c r="T235" s="490" t="str">
        <f>R104</f>
        <v>-</v>
      </c>
      <c r="U235" s="490" t="str">
        <f>S104</f>
        <v>-</v>
      </c>
      <c r="V235" s="490">
        <f>T104</f>
        <v>0</v>
      </c>
      <c r="W235" s="491">
        <f>U104</f>
        <v>0</v>
      </c>
      <c r="Y235" s="484">
        <v>11</v>
      </c>
      <c r="Z235" s="485">
        <f>X113</f>
        <v>0.3</v>
      </c>
      <c r="AE235" s="441"/>
    </row>
    <row r="236" spans="1:38" ht="13" x14ac:dyDescent="0.3">
      <c r="A236" s="1059"/>
      <c r="B236" s="486">
        <v>11</v>
      </c>
      <c r="C236" s="490">
        <f>C115</f>
        <v>15</v>
      </c>
      <c r="D236" s="490">
        <f>D115</f>
        <v>0.3</v>
      </c>
      <c r="E236" s="490">
        <f>E115</f>
        <v>0.3</v>
      </c>
      <c r="F236" s="490">
        <f>F115</f>
        <v>0</v>
      </c>
      <c r="G236" s="490">
        <f>G115</f>
        <v>0</v>
      </c>
      <c r="I236" s="1059"/>
      <c r="J236" s="486">
        <v>11</v>
      </c>
      <c r="K236" s="490">
        <f>J115</f>
        <v>30</v>
      </c>
      <c r="L236" s="490">
        <f>K115</f>
        <v>-5.2</v>
      </c>
      <c r="M236" s="490">
        <f>L115</f>
        <v>-6.4</v>
      </c>
      <c r="N236" s="490">
        <f>M115</f>
        <v>0</v>
      </c>
      <c r="O236" s="490">
        <f>N115</f>
        <v>0.60000000000000009</v>
      </c>
      <c r="Q236" s="1063"/>
      <c r="R236" s="486">
        <v>11</v>
      </c>
      <c r="S236" s="490">
        <f>Q115</f>
        <v>750</v>
      </c>
      <c r="T236" s="490" t="str">
        <f>R115</f>
        <v>-</v>
      </c>
      <c r="U236" s="490" t="str">
        <f>S115</f>
        <v>-</v>
      </c>
      <c r="V236" s="490">
        <f>T115</f>
        <v>0</v>
      </c>
      <c r="W236" s="491">
        <f>U115</f>
        <v>0</v>
      </c>
      <c r="Y236" s="484">
        <v>12</v>
      </c>
      <c r="Z236" s="485">
        <f>X124</f>
        <v>0.3</v>
      </c>
      <c r="AE236" s="441"/>
    </row>
    <row r="237" spans="1:38" ht="13" x14ac:dyDescent="0.3">
      <c r="A237" s="1059"/>
      <c r="B237" s="486">
        <v>12</v>
      </c>
      <c r="C237" s="490">
        <f>C126</f>
        <v>15</v>
      </c>
      <c r="D237" s="490">
        <f>D126</f>
        <v>9.9999999999999995E-7</v>
      </c>
      <c r="E237" s="490" t="str">
        <f>E126</f>
        <v>-</v>
      </c>
      <c r="F237" s="490">
        <f>F126</f>
        <v>0</v>
      </c>
      <c r="G237" s="490">
        <f>G126</f>
        <v>0</v>
      </c>
      <c r="I237" s="1059"/>
      <c r="J237" s="486">
        <v>12</v>
      </c>
      <c r="K237" s="490">
        <f>J126</f>
        <v>30</v>
      </c>
      <c r="L237" s="490">
        <f>K126</f>
        <v>-0.4</v>
      </c>
      <c r="M237" s="490" t="str">
        <f>L126</f>
        <v>-</v>
      </c>
      <c r="N237" s="490">
        <f>M126</f>
        <v>0</v>
      </c>
      <c r="O237" s="490">
        <f>N126</f>
        <v>0</v>
      </c>
      <c r="Q237" s="1063"/>
      <c r="R237" s="486">
        <v>12</v>
      </c>
      <c r="S237" s="490">
        <f>Q126</f>
        <v>800</v>
      </c>
      <c r="T237" s="490">
        <f>R126</f>
        <v>-0.4</v>
      </c>
      <c r="U237" s="490" t="str">
        <f>S126</f>
        <v>-</v>
      </c>
      <c r="V237" s="490">
        <f>T126</f>
        <v>0</v>
      </c>
      <c r="W237" s="491">
        <f>U126</f>
        <v>0</v>
      </c>
      <c r="Y237" s="484">
        <v>13</v>
      </c>
      <c r="Z237" s="492">
        <f>X135</f>
        <v>0.5</v>
      </c>
      <c r="AE237" s="441"/>
      <c r="AL237" s="441"/>
    </row>
    <row r="238" spans="1:38" ht="13" x14ac:dyDescent="0.3">
      <c r="A238" s="1059"/>
      <c r="B238" s="486">
        <v>13</v>
      </c>
      <c r="C238" s="490">
        <f>C137</f>
        <v>15</v>
      </c>
      <c r="D238" s="490">
        <f>E137</f>
        <v>-0.7</v>
      </c>
      <c r="E238" s="490" t="str">
        <f>F137</f>
        <v>-</v>
      </c>
      <c r="F238" s="490" t="s">
        <v>243</v>
      </c>
      <c r="G238" s="490">
        <f>G137</f>
        <v>0</v>
      </c>
      <c r="I238" s="1059"/>
      <c r="J238" s="486">
        <v>13</v>
      </c>
      <c r="K238" s="490">
        <f>J137</f>
        <v>30</v>
      </c>
      <c r="L238" s="490">
        <f>L137</f>
        <v>-1.4</v>
      </c>
      <c r="M238" s="490" t="str">
        <f>M137</f>
        <v>-</v>
      </c>
      <c r="N238" s="490" t="s">
        <v>243</v>
      </c>
      <c r="O238" s="490">
        <f>N137</f>
        <v>0</v>
      </c>
      <c r="Q238" s="1063"/>
      <c r="R238" s="486">
        <v>13</v>
      </c>
      <c r="S238" s="490">
        <f>Q137</f>
        <v>960</v>
      </c>
      <c r="T238" s="490">
        <f>S137</f>
        <v>0.9</v>
      </c>
      <c r="U238" s="490" t="str">
        <f>T137</f>
        <v>-</v>
      </c>
      <c r="V238" s="490" t="s">
        <v>243</v>
      </c>
      <c r="W238" s="491">
        <f>U137</f>
        <v>0</v>
      </c>
      <c r="Y238" s="484">
        <v>14</v>
      </c>
      <c r="Z238" s="492">
        <f>X146</f>
        <v>0.5</v>
      </c>
      <c r="AE238" s="441"/>
      <c r="AL238" s="441"/>
    </row>
    <row r="239" spans="1:38" ht="13" x14ac:dyDescent="0.3">
      <c r="A239" s="1059"/>
      <c r="B239" s="486">
        <v>14</v>
      </c>
      <c r="C239" s="490">
        <f>C148</f>
        <v>15</v>
      </c>
      <c r="D239" s="490">
        <f>E148</f>
        <v>-0.2</v>
      </c>
      <c r="E239" s="490" t="str">
        <f>F148</f>
        <v>-</v>
      </c>
      <c r="F239" s="490" t="s">
        <v>243</v>
      </c>
      <c r="G239" s="490">
        <f>G148</f>
        <v>0</v>
      </c>
      <c r="I239" s="1059"/>
      <c r="J239" s="486">
        <v>14</v>
      </c>
      <c r="K239" s="490">
        <f>J148</f>
        <v>30</v>
      </c>
      <c r="L239" s="490">
        <f>L148</f>
        <v>0.6</v>
      </c>
      <c r="M239" s="490" t="str">
        <f>M148</f>
        <v>-</v>
      </c>
      <c r="N239" s="490" t="s">
        <v>243</v>
      </c>
      <c r="O239" s="490">
        <f>N148</f>
        <v>0</v>
      </c>
      <c r="Q239" s="1063"/>
      <c r="R239" s="486">
        <v>14</v>
      </c>
      <c r="S239" s="490">
        <f>Q148</f>
        <v>960</v>
      </c>
      <c r="T239" s="490">
        <f>S148</f>
        <v>0.9</v>
      </c>
      <c r="U239" s="490" t="str">
        <f>T148</f>
        <v>-</v>
      </c>
      <c r="V239" s="490" t="s">
        <v>243</v>
      </c>
      <c r="W239" s="491">
        <f>U148</f>
        <v>0</v>
      </c>
      <c r="Y239" s="484">
        <v>15</v>
      </c>
      <c r="Z239" s="492">
        <f>X157</f>
        <v>0.5</v>
      </c>
      <c r="AE239" s="441"/>
      <c r="AL239" s="441"/>
    </row>
    <row r="240" spans="1:38" ht="13" x14ac:dyDescent="0.3">
      <c r="A240" s="1059"/>
      <c r="B240" s="486">
        <v>15</v>
      </c>
      <c r="C240" s="490">
        <f>C159</f>
        <v>15</v>
      </c>
      <c r="D240" s="490">
        <f>E159</f>
        <v>-0.6</v>
      </c>
      <c r="E240" s="490" t="str">
        <f>F159</f>
        <v>-</v>
      </c>
      <c r="F240" s="490" t="s">
        <v>243</v>
      </c>
      <c r="G240" s="490">
        <f>G159</f>
        <v>0</v>
      </c>
      <c r="I240" s="1059"/>
      <c r="J240" s="486">
        <v>15</v>
      </c>
      <c r="K240" s="490">
        <f>J159</f>
        <v>30</v>
      </c>
      <c r="L240" s="490">
        <f>L159</f>
        <v>-0.4</v>
      </c>
      <c r="M240" s="490" t="str">
        <f>M159</f>
        <v>-</v>
      </c>
      <c r="N240" s="490" t="s">
        <v>243</v>
      </c>
      <c r="O240" s="490">
        <f>N159</f>
        <v>0</v>
      </c>
      <c r="Q240" s="1063"/>
      <c r="R240" s="486">
        <v>15</v>
      </c>
      <c r="S240" s="490">
        <f>Q159</f>
        <v>960</v>
      </c>
      <c r="T240" s="490">
        <f>S159</f>
        <v>0.9</v>
      </c>
      <c r="U240" s="490" t="str">
        <f>T159</f>
        <v>-</v>
      </c>
      <c r="V240" s="490" t="s">
        <v>243</v>
      </c>
      <c r="W240" s="491">
        <f>U159</f>
        <v>0</v>
      </c>
      <c r="Y240" s="484">
        <v>16</v>
      </c>
      <c r="Z240" s="492">
        <f>X168</f>
        <v>0.4</v>
      </c>
      <c r="AE240" s="441"/>
      <c r="AL240" s="441"/>
    </row>
    <row r="241" spans="1:38" ht="13" x14ac:dyDescent="0.3">
      <c r="A241" s="1059"/>
      <c r="B241" s="486">
        <v>16</v>
      </c>
      <c r="C241" s="490">
        <f>C170</f>
        <v>15</v>
      </c>
      <c r="D241" s="490">
        <f>D170</f>
        <v>0.1</v>
      </c>
      <c r="E241" s="490" t="str">
        <f>E170</f>
        <v>-</v>
      </c>
      <c r="F241" s="490">
        <f>F170</f>
        <v>0</v>
      </c>
      <c r="G241" s="490">
        <f>G170</f>
        <v>0</v>
      </c>
      <c r="I241" s="1059"/>
      <c r="J241" s="486">
        <v>16</v>
      </c>
      <c r="K241" s="490">
        <f>J170</f>
        <v>30</v>
      </c>
      <c r="L241" s="490">
        <f>K170</f>
        <v>-1.6</v>
      </c>
      <c r="M241" s="490" t="str">
        <f>L170</f>
        <v>-</v>
      </c>
      <c r="N241" s="490">
        <f>M170</f>
        <v>0</v>
      </c>
      <c r="O241" s="490">
        <f>N170</f>
        <v>0</v>
      </c>
      <c r="Q241" s="1063"/>
      <c r="R241" s="486">
        <v>16</v>
      </c>
      <c r="S241" s="490">
        <f>Q170</f>
        <v>800</v>
      </c>
      <c r="T241" s="490">
        <f>R170</f>
        <v>-2.9</v>
      </c>
      <c r="U241" s="490" t="str">
        <f>S170</f>
        <v>-</v>
      </c>
      <c r="V241" s="490">
        <f>T170</f>
        <v>0</v>
      </c>
      <c r="W241" s="491">
        <f>U170</f>
        <v>0</v>
      </c>
      <c r="Y241" s="484">
        <v>17</v>
      </c>
      <c r="Z241" s="492">
        <f>X179</f>
        <v>0.3</v>
      </c>
      <c r="AE241" s="441"/>
      <c r="AL241" s="441"/>
    </row>
    <row r="242" spans="1:38" ht="13" x14ac:dyDescent="0.3">
      <c r="A242" s="1059"/>
      <c r="B242" s="486">
        <v>17</v>
      </c>
      <c r="C242" s="490">
        <f>C181</f>
        <v>15</v>
      </c>
      <c r="D242" s="490">
        <f>D181</f>
        <v>0.1</v>
      </c>
      <c r="E242" s="490" t="str">
        <f>E181</f>
        <v>-</v>
      </c>
      <c r="F242" s="490">
        <f>F181</f>
        <v>0</v>
      </c>
      <c r="G242" s="490">
        <f>G181</f>
        <v>0</v>
      </c>
      <c r="I242" s="1059"/>
      <c r="J242" s="486">
        <v>17</v>
      </c>
      <c r="K242" s="490">
        <f>J181</f>
        <v>30</v>
      </c>
      <c r="L242" s="490">
        <f>K181</f>
        <v>0.1</v>
      </c>
      <c r="M242" s="490" t="str">
        <f>L181</f>
        <v>-</v>
      </c>
      <c r="N242" s="490">
        <f>M181</f>
        <v>0</v>
      </c>
      <c r="O242" s="490">
        <f>N181</f>
        <v>0</v>
      </c>
      <c r="Q242" s="1063"/>
      <c r="R242" s="486">
        <v>17</v>
      </c>
      <c r="S242" s="490">
        <f>Q181</f>
        <v>960</v>
      </c>
      <c r="T242" s="490">
        <f>R181</f>
        <v>-0.6</v>
      </c>
      <c r="U242" s="490" t="str">
        <f>S181</f>
        <v>-</v>
      </c>
      <c r="V242" s="490">
        <f>T181</f>
        <v>0</v>
      </c>
      <c r="W242" s="491">
        <f>U181</f>
        <v>0</v>
      </c>
      <c r="Y242" s="484">
        <v>18</v>
      </c>
      <c r="Z242" s="492">
        <f>X190</f>
        <v>0.3</v>
      </c>
      <c r="AE242" s="441"/>
      <c r="AL242" s="441"/>
    </row>
    <row r="243" spans="1:38" ht="13" x14ac:dyDescent="0.3">
      <c r="A243" s="1059"/>
      <c r="B243" s="486">
        <v>18</v>
      </c>
      <c r="C243" s="490">
        <f>C192</f>
        <v>15</v>
      </c>
      <c r="D243" s="490">
        <f>D192</f>
        <v>9.9999999999999995E-7</v>
      </c>
      <c r="E243" s="490" t="str">
        <f>E192</f>
        <v>-</v>
      </c>
      <c r="F243" s="490">
        <f>F192</f>
        <v>0</v>
      </c>
      <c r="G243" s="490">
        <f>G192</f>
        <v>0</v>
      </c>
      <c r="I243" s="1059"/>
      <c r="J243" s="486">
        <v>18</v>
      </c>
      <c r="K243" s="490">
        <f>J192</f>
        <v>30</v>
      </c>
      <c r="L243" s="490">
        <f>K192</f>
        <v>-0.4</v>
      </c>
      <c r="M243" s="490" t="str">
        <f>L192</f>
        <v>-</v>
      </c>
      <c r="N243" s="490">
        <f>M192</f>
        <v>0</v>
      </c>
      <c r="O243" s="490">
        <f>N192</f>
        <v>0</v>
      </c>
      <c r="Q243" s="1063"/>
      <c r="R243" s="486">
        <v>18</v>
      </c>
      <c r="S243" s="490">
        <f>Q192</f>
        <v>800</v>
      </c>
      <c r="T243" s="490">
        <f>R192</f>
        <v>-1.5</v>
      </c>
      <c r="U243" s="490" t="str">
        <f>S192</f>
        <v>-</v>
      </c>
      <c r="V243" s="490">
        <f>T192</f>
        <v>0</v>
      </c>
      <c r="W243" s="491">
        <f>U192</f>
        <v>0</v>
      </c>
      <c r="Y243" s="484">
        <v>19</v>
      </c>
      <c r="Z243" s="492">
        <f>X201</f>
        <v>0.1</v>
      </c>
      <c r="AE243" s="441"/>
      <c r="AL243" s="441"/>
    </row>
    <row r="244" spans="1:38" ht="13.5" thickBot="1" x14ac:dyDescent="0.35">
      <c r="A244" s="1059"/>
      <c r="B244" s="486">
        <v>19</v>
      </c>
      <c r="C244" s="490">
        <f>C203</f>
        <v>15</v>
      </c>
      <c r="D244" s="490">
        <f>D203</f>
        <v>9.9999999999999995E-7</v>
      </c>
      <c r="E244" s="490" t="str">
        <f>E203</f>
        <v>-</v>
      </c>
      <c r="F244" s="490">
        <f>F203</f>
        <v>0</v>
      </c>
      <c r="G244" s="490">
        <f>G203</f>
        <v>0</v>
      </c>
      <c r="I244" s="1059"/>
      <c r="J244" s="486">
        <v>19</v>
      </c>
      <c r="K244" s="490">
        <f>J203</f>
        <v>30</v>
      </c>
      <c r="L244" s="490">
        <f>K203</f>
        <v>-1.5</v>
      </c>
      <c r="M244" s="490" t="str">
        <f>L203</f>
        <v>-</v>
      </c>
      <c r="N244" s="490">
        <f>M203</f>
        <v>0</v>
      </c>
      <c r="O244" s="490">
        <f>N203</f>
        <v>0</v>
      </c>
      <c r="Q244" s="1063"/>
      <c r="R244" s="486">
        <v>19</v>
      </c>
      <c r="S244" s="490">
        <f>Q203</f>
        <v>750</v>
      </c>
      <c r="T244" s="490">
        <f>R203</f>
        <v>2.5</v>
      </c>
      <c r="U244" s="490" t="str">
        <f>S203</f>
        <v>-</v>
      </c>
      <c r="V244" s="490">
        <f>T203</f>
        <v>0</v>
      </c>
      <c r="W244" s="491">
        <f>U203</f>
        <v>0</v>
      </c>
      <c r="Y244" s="493">
        <v>20</v>
      </c>
      <c r="Z244" s="494">
        <f>X212</f>
        <v>0</v>
      </c>
      <c r="AE244" s="441"/>
      <c r="AL244" s="441"/>
    </row>
    <row r="245" spans="1:38" ht="13.5" thickBot="1" x14ac:dyDescent="0.35">
      <c r="A245" s="1059"/>
      <c r="B245" s="486">
        <v>20</v>
      </c>
      <c r="C245" s="490">
        <f>C214</f>
        <v>14.8</v>
      </c>
      <c r="D245" s="490">
        <f>D214</f>
        <v>9.9999999999999995E-7</v>
      </c>
      <c r="E245" s="490" t="str">
        <f>E214</f>
        <v>-</v>
      </c>
      <c r="F245" s="490">
        <f>F214</f>
        <v>9.9999999999999995E-7</v>
      </c>
      <c r="G245" s="490">
        <f>G214</f>
        <v>0</v>
      </c>
      <c r="I245" s="1059"/>
      <c r="J245" s="486">
        <v>20</v>
      </c>
      <c r="K245" s="490">
        <f>J214</f>
        <v>45.7</v>
      </c>
      <c r="L245" s="490">
        <f>K214</f>
        <v>9.9999999999999995E-7</v>
      </c>
      <c r="M245" s="490" t="str">
        <f>L214</f>
        <v>-</v>
      </c>
      <c r="N245" s="490">
        <f>M214</f>
        <v>0</v>
      </c>
      <c r="O245" s="490">
        <f>N214</f>
        <v>0</v>
      </c>
      <c r="Q245" s="1064"/>
      <c r="R245" s="495">
        <v>20</v>
      </c>
      <c r="S245" s="496">
        <f>Q214</f>
        <v>750</v>
      </c>
      <c r="T245" s="496" t="str">
        <f>R214</f>
        <v>-</v>
      </c>
      <c r="U245" s="496" t="str">
        <f>S214</f>
        <v>-</v>
      </c>
      <c r="V245" s="496">
        <f>T214</f>
        <v>0</v>
      </c>
      <c r="W245" s="497">
        <f>U214</f>
        <v>0</v>
      </c>
      <c r="Y245" s="448"/>
      <c r="AE245" s="498"/>
      <c r="AL245" s="441"/>
    </row>
    <row r="246" spans="1:38" ht="13.5" thickBot="1" x14ac:dyDescent="0.35">
      <c r="A246" s="73"/>
      <c r="B246" s="73"/>
      <c r="C246" s="311"/>
      <c r="D246" s="311"/>
      <c r="E246" s="311"/>
      <c r="F246" s="480"/>
      <c r="G246" s="311"/>
      <c r="I246" s="73"/>
      <c r="J246" s="73"/>
      <c r="K246" s="311"/>
      <c r="L246" s="311"/>
      <c r="M246" s="311"/>
      <c r="N246" s="480"/>
      <c r="O246" s="311"/>
      <c r="Q246" s="499"/>
      <c r="R246" s="499"/>
      <c r="S246" s="500"/>
      <c r="T246" s="500"/>
      <c r="U246" s="500"/>
      <c r="W246" s="501"/>
      <c r="Y246" s="431"/>
      <c r="AE246" s="431"/>
      <c r="AL246" s="431"/>
    </row>
    <row r="247" spans="1:38" ht="13" x14ac:dyDescent="0.3">
      <c r="A247" s="1059">
        <v>2</v>
      </c>
      <c r="B247" s="486">
        <v>1</v>
      </c>
      <c r="C247" s="490">
        <f>C6</f>
        <v>20</v>
      </c>
      <c r="D247" s="490">
        <f>D6</f>
        <v>-0.2</v>
      </c>
      <c r="E247" s="490">
        <f>E6</f>
        <v>0.2</v>
      </c>
      <c r="F247" s="490">
        <f>F6</f>
        <v>0</v>
      </c>
      <c r="G247" s="490">
        <f>G6</f>
        <v>0.2</v>
      </c>
      <c r="I247" s="1059">
        <v>2</v>
      </c>
      <c r="J247" s="486">
        <v>1</v>
      </c>
      <c r="K247" s="490">
        <f>J6</f>
        <v>40</v>
      </c>
      <c r="L247" s="490">
        <f>K6</f>
        <v>-6</v>
      </c>
      <c r="M247" s="490">
        <f>L6</f>
        <v>-8.6</v>
      </c>
      <c r="N247" s="490">
        <f>M6</f>
        <v>0</v>
      </c>
      <c r="O247" s="490">
        <f>N6</f>
        <v>1.2999999999999998</v>
      </c>
      <c r="Q247" s="1060">
        <v>2</v>
      </c>
      <c r="R247" s="502">
        <v>1</v>
      </c>
      <c r="S247" s="503">
        <f>Q6</f>
        <v>800</v>
      </c>
      <c r="T247" s="503" t="str">
        <f>R6</f>
        <v>-</v>
      </c>
      <c r="U247" s="503" t="str">
        <f>S6</f>
        <v>-</v>
      </c>
      <c r="V247" s="503">
        <f>T6</f>
        <v>0</v>
      </c>
      <c r="W247" s="504">
        <f>U6</f>
        <v>0</v>
      </c>
      <c r="Y247" s="1049" t="s">
        <v>222</v>
      </c>
      <c r="Z247" s="1050"/>
      <c r="AE247" s="505"/>
    </row>
    <row r="248" spans="1:38" ht="13" x14ac:dyDescent="0.3">
      <c r="A248" s="1059"/>
      <c r="B248" s="486">
        <v>2</v>
      </c>
      <c r="C248" s="490">
        <f>C17</f>
        <v>20</v>
      </c>
      <c r="D248" s="490">
        <f>D17</f>
        <v>0.7</v>
      </c>
      <c r="E248" s="490">
        <f>E17</f>
        <v>-0.1</v>
      </c>
      <c r="F248" s="490">
        <f>F17</f>
        <v>0</v>
      </c>
      <c r="G248" s="490">
        <f>G17</f>
        <v>0.39999999999999997</v>
      </c>
      <c r="I248" s="1059"/>
      <c r="J248" s="486">
        <v>2</v>
      </c>
      <c r="K248" s="490">
        <f>J17</f>
        <v>40</v>
      </c>
      <c r="L248" s="490">
        <f>K17</f>
        <v>-6.2</v>
      </c>
      <c r="M248" s="490">
        <f>L17</f>
        <v>-1.6</v>
      </c>
      <c r="N248" s="490">
        <f>M17</f>
        <v>0</v>
      </c>
      <c r="O248" s="490">
        <f>N17</f>
        <v>2.2999999999999998</v>
      </c>
      <c r="Q248" s="1059"/>
      <c r="R248" s="486">
        <v>2</v>
      </c>
      <c r="S248" s="490">
        <f>Q17</f>
        <v>800</v>
      </c>
      <c r="T248" s="490" t="str">
        <f>R17</f>
        <v>-</v>
      </c>
      <c r="U248" s="490" t="str">
        <f>S17</f>
        <v>-</v>
      </c>
      <c r="V248" s="490">
        <f>T17</f>
        <v>0</v>
      </c>
      <c r="W248" s="491">
        <f>U17</f>
        <v>0</v>
      </c>
      <c r="Y248" s="1056" t="s">
        <v>273</v>
      </c>
      <c r="Z248" s="1057"/>
      <c r="AE248" s="441"/>
    </row>
    <row r="249" spans="1:38" ht="13" x14ac:dyDescent="0.3">
      <c r="A249" s="1059"/>
      <c r="B249" s="486">
        <v>3</v>
      </c>
      <c r="C249" s="486">
        <f>C28</f>
        <v>20</v>
      </c>
      <c r="D249" s="486">
        <f>D28</f>
        <v>1</v>
      </c>
      <c r="E249" s="486">
        <f>E28</f>
        <v>9.9999999999999995E-7</v>
      </c>
      <c r="F249" s="486">
        <f>F28</f>
        <v>0</v>
      </c>
      <c r="G249" s="486">
        <f>G28</f>
        <v>0.49999949999999999</v>
      </c>
      <c r="I249" s="1059"/>
      <c r="J249" s="486">
        <v>3</v>
      </c>
      <c r="K249" s="486">
        <f>J28</f>
        <v>40</v>
      </c>
      <c r="L249" s="486">
        <f>K28</f>
        <v>-5.9</v>
      </c>
      <c r="M249" s="486">
        <f>L28</f>
        <v>-5.3</v>
      </c>
      <c r="N249" s="486">
        <f>M28</f>
        <v>0</v>
      </c>
      <c r="O249" s="486">
        <f>N28</f>
        <v>0.30000000000000027</v>
      </c>
      <c r="Q249" s="1059"/>
      <c r="R249" s="486">
        <v>3</v>
      </c>
      <c r="S249" s="486">
        <f>Q28</f>
        <v>800</v>
      </c>
      <c r="T249" s="486" t="str">
        <f>R28</f>
        <v>-</v>
      </c>
      <c r="U249" s="486" t="str">
        <f>S28</f>
        <v>-</v>
      </c>
      <c r="V249" s="486">
        <f>T28</f>
        <v>0</v>
      </c>
      <c r="W249" s="487">
        <f>U28</f>
        <v>0</v>
      </c>
      <c r="Y249" s="484">
        <v>1</v>
      </c>
      <c r="Z249" s="485">
        <f>X4</f>
        <v>3.1</v>
      </c>
      <c r="AE249" s="441"/>
    </row>
    <row r="250" spans="1:38" ht="13" x14ac:dyDescent="0.3">
      <c r="A250" s="1059"/>
      <c r="B250" s="486">
        <v>4</v>
      </c>
      <c r="C250" s="486">
        <f>C39</f>
        <v>20</v>
      </c>
      <c r="D250" s="486">
        <f>D39</f>
        <v>-0.1</v>
      </c>
      <c r="E250" s="486">
        <f>E39</f>
        <v>-0.3</v>
      </c>
      <c r="F250" s="486">
        <f>F39</f>
        <v>0</v>
      </c>
      <c r="G250" s="486">
        <f>G39</f>
        <v>9.9999999999999992E-2</v>
      </c>
      <c r="I250" s="1059"/>
      <c r="J250" s="486">
        <v>4</v>
      </c>
      <c r="K250" s="486">
        <f>J39</f>
        <v>40</v>
      </c>
      <c r="L250" s="486">
        <f>K39</f>
        <v>-4.4000000000000004</v>
      </c>
      <c r="M250" s="486">
        <f>L39</f>
        <v>-1.5</v>
      </c>
      <c r="N250" s="486">
        <f>M39</f>
        <v>0</v>
      </c>
      <c r="O250" s="486">
        <f>N39</f>
        <v>1.4500000000000002</v>
      </c>
      <c r="Q250" s="1059"/>
      <c r="R250" s="486">
        <v>4</v>
      </c>
      <c r="S250" s="486">
        <f>Q39</f>
        <v>800</v>
      </c>
      <c r="T250" s="486" t="str">
        <f>R39</f>
        <v>-</v>
      </c>
      <c r="U250" s="486" t="str">
        <f>S39</f>
        <v>-</v>
      </c>
      <c r="V250" s="486">
        <f>T39</f>
        <v>0</v>
      </c>
      <c r="W250" s="487">
        <f>U39</f>
        <v>0</v>
      </c>
      <c r="Y250" s="488">
        <v>2</v>
      </c>
      <c r="Z250" s="485">
        <f>X15</f>
        <v>2.2000000000000002</v>
      </c>
      <c r="AE250" s="441"/>
    </row>
    <row r="251" spans="1:38" ht="13" x14ac:dyDescent="0.3">
      <c r="A251" s="1059"/>
      <c r="B251" s="486">
        <v>5</v>
      </c>
      <c r="C251" s="486">
        <f>C50</f>
        <v>20</v>
      </c>
      <c r="D251" s="486">
        <f>D50</f>
        <v>0.1</v>
      </c>
      <c r="E251" s="486">
        <f>E50</f>
        <v>0.3</v>
      </c>
      <c r="F251" s="486">
        <f>F50</f>
        <v>0</v>
      </c>
      <c r="G251" s="486">
        <f>G50</f>
        <v>9.9999999999999992E-2</v>
      </c>
      <c r="I251" s="1059"/>
      <c r="J251" s="486">
        <v>5</v>
      </c>
      <c r="K251" s="486">
        <f>J50</f>
        <v>40</v>
      </c>
      <c r="L251" s="486">
        <f>K50</f>
        <v>-7.2</v>
      </c>
      <c r="M251" s="486">
        <f>L50</f>
        <v>-8</v>
      </c>
      <c r="N251" s="486">
        <f>M50</f>
        <v>0</v>
      </c>
      <c r="O251" s="486">
        <f>N50</f>
        <v>0.39999999999999991</v>
      </c>
      <c r="Q251" s="1059"/>
      <c r="R251" s="486">
        <v>5</v>
      </c>
      <c r="S251" s="486">
        <f>Q50</f>
        <v>800</v>
      </c>
      <c r="T251" s="486" t="str">
        <f>R50</f>
        <v>-</v>
      </c>
      <c r="U251" s="486" t="str">
        <f>S50</f>
        <v>-</v>
      </c>
      <c r="V251" s="486">
        <f>T50</f>
        <v>0</v>
      </c>
      <c r="W251" s="487">
        <f>U50</f>
        <v>0</v>
      </c>
      <c r="Y251" s="488">
        <v>3</v>
      </c>
      <c r="Z251" s="489">
        <f>X26</f>
        <v>3.1</v>
      </c>
      <c r="AE251" s="441"/>
    </row>
    <row r="252" spans="1:38" ht="13" x14ac:dyDescent="0.3">
      <c r="A252" s="1059"/>
      <c r="B252" s="486">
        <v>6</v>
      </c>
      <c r="C252" s="486">
        <f>C61</f>
        <v>20</v>
      </c>
      <c r="D252" s="486">
        <f>D61</f>
        <v>0.3</v>
      </c>
      <c r="E252" s="486">
        <f>E61</f>
        <v>0.2</v>
      </c>
      <c r="F252" s="486">
        <f>F61</f>
        <v>0</v>
      </c>
      <c r="G252" s="486">
        <f>G61</f>
        <v>4.9999999999999989E-2</v>
      </c>
      <c r="I252" s="1059"/>
      <c r="J252" s="486">
        <v>6</v>
      </c>
      <c r="K252" s="486">
        <f>J61</f>
        <v>40</v>
      </c>
      <c r="L252" s="486">
        <f>K61</f>
        <v>-3.8</v>
      </c>
      <c r="M252" s="486">
        <f>L61</f>
        <v>1.5</v>
      </c>
      <c r="N252" s="486">
        <f>M61</f>
        <v>0</v>
      </c>
      <c r="O252" s="486">
        <f>N61</f>
        <v>2.65</v>
      </c>
      <c r="Q252" s="1059"/>
      <c r="R252" s="486">
        <v>6</v>
      </c>
      <c r="S252" s="486">
        <f>Q61</f>
        <v>800</v>
      </c>
      <c r="T252" s="486">
        <f>R61</f>
        <v>0.9</v>
      </c>
      <c r="U252" s="486">
        <f>S61</f>
        <v>1.6</v>
      </c>
      <c r="V252" s="486">
        <f>T61</f>
        <v>0</v>
      </c>
      <c r="W252" s="487">
        <f>U61</f>
        <v>0.35000000000000003</v>
      </c>
      <c r="Y252" s="488">
        <v>4</v>
      </c>
      <c r="Z252" s="489">
        <f>X37</f>
        <v>1.3</v>
      </c>
      <c r="AE252" s="441"/>
    </row>
    <row r="253" spans="1:38" ht="13" x14ac:dyDescent="0.3">
      <c r="A253" s="1059"/>
      <c r="B253" s="486">
        <v>7</v>
      </c>
      <c r="C253" s="486">
        <f>C72</f>
        <v>20</v>
      </c>
      <c r="D253" s="486">
        <f>D72</f>
        <v>9.9999999999999995E-7</v>
      </c>
      <c r="E253" s="486">
        <f>E72</f>
        <v>0.1</v>
      </c>
      <c r="F253" s="486">
        <f>F72</f>
        <v>0</v>
      </c>
      <c r="G253" s="486">
        <f>G72</f>
        <v>4.9999500000000002E-2</v>
      </c>
      <c r="I253" s="1059"/>
      <c r="J253" s="486">
        <v>7</v>
      </c>
      <c r="K253" s="486">
        <f>J72</f>
        <v>40</v>
      </c>
      <c r="L253" s="486">
        <f>K72</f>
        <v>-1.9</v>
      </c>
      <c r="M253" s="486">
        <f>L72</f>
        <v>1.2</v>
      </c>
      <c r="N253" s="486">
        <f>M72</f>
        <v>0</v>
      </c>
      <c r="O253" s="486">
        <f>N72</f>
        <v>1.5499999999999998</v>
      </c>
      <c r="Q253" s="1059"/>
      <c r="R253" s="486">
        <v>7</v>
      </c>
      <c r="S253" s="486">
        <f>Q72</f>
        <v>800</v>
      </c>
      <c r="T253" s="486">
        <f>R72</f>
        <v>9.9999999999999995E-7</v>
      </c>
      <c r="U253" s="486">
        <f>S72</f>
        <v>2.5</v>
      </c>
      <c r="V253" s="486">
        <f>T72</f>
        <v>0</v>
      </c>
      <c r="W253" s="487">
        <f>U72</f>
        <v>1.2499994999999999</v>
      </c>
      <c r="Y253" s="488">
        <v>5</v>
      </c>
      <c r="Z253" s="489">
        <f>X48</f>
        <v>2.8</v>
      </c>
      <c r="AE253" s="441"/>
    </row>
    <row r="254" spans="1:38" ht="13" x14ac:dyDescent="0.3">
      <c r="A254" s="1059"/>
      <c r="B254" s="486">
        <v>8</v>
      </c>
      <c r="C254" s="486">
        <f>C83</f>
        <v>20</v>
      </c>
      <c r="D254" s="486">
        <f>D83</f>
        <v>9.9999999999999995E-7</v>
      </c>
      <c r="E254" s="486">
        <f>E83</f>
        <v>-0.2</v>
      </c>
      <c r="F254" s="486">
        <f>F83</f>
        <v>0</v>
      </c>
      <c r="G254" s="486">
        <f>G83</f>
        <v>0.10000050000000001</v>
      </c>
      <c r="I254" s="1059"/>
      <c r="J254" s="486">
        <v>8</v>
      </c>
      <c r="K254" s="486">
        <f>J83</f>
        <v>40</v>
      </c>
      <c r="L254" s="486">
        <f>K83</f>
        <v>-3.8</v>
      </c>
      <c r="M254" s="486">
        <f>L83</f>
        <v>-1.2</v>
      </c>
      <c r="N254" s="486">
        <f>M83</f>
        <v>0</v>
      </c>
      <c r="O254" s="486">
        <f>N83</f>
        <v>1.2999999999999998</v>
      </c>
      <c r="Q254" s="1059"/>
      <c r="R254" s="486">
        <v>8</v>
      </c>
      <c r="S254" s="486">
        <f>Q83</f>
        <v>800</v>
      </c>
      <c r="T254" s="486">
        <f>R83</f>
        <v>9.9999999999999995E-7</v>
      </c>
      <c r="U254" s="486">
        <f>S83</f>
        <v>9.9999999999999995E-7</v>
      </c>
      <c r="V254" s="486">
        <f>T83</f>
        <v>0</v>
      </c>
      <c r="W254" s="487">
        <f>U83</f>
        <v>0</v>
      </c>
      <c r="Y254" s="484">
        <v>6</v>
      </c>
      <c r="Z254" s="485">
        <f>X59</f>
        <v>2.6</v>
      </c>
      <c r="AE254" s="441"/>
    </row>
    <row r="255" spans="1:38" ht="13" x14ac:dyDescent="0.3">
      <c r="A255" s="1059"/>
      <c r="B255" s="486">
        <v>9</v>
      </c>
      <c r="C255" s="486">
        <f>C94</f>
        <v>20</v>
      </c>
      <c r="D255" s="486">
        <f>D94</f>
        <v>-0.2</v>
      </c>
      <c r="E255" s="486" t="str">
        <f>E94</f>
        <v>-</v>
      </c>
      <c r="F255" s="486">
        <f>F94</f>
        <v>0</v>
      </c>
      <c r="G255" s="486">
        <f>G94</f>
        <v>0</v>
      </c>
      <c r="I255" s="1059"/>
      <c r="J255" s="486">
        <v>9</v>
      </c>
      <c r="K255" s="486">
        <f>J94</f>
        <v>40</v>
      </c>
      <c r="L255" s="486">
        <f>K94</f>
        <v>-1</v>
      </c>
      <c r="M255" s="486" t="str">
        <f>L94</f>
        <v>-</v>
      </c>
      <c r="N255" s="486">
        <f>M94</f>
        <v>0</v>
      </c>
      <c r="O255" s="486">
        <f>N94</f>
        <v>0</v>
      </c>
      <c r="Q255" s="1059"/>
      <c r="R255" s="486">
        <v>9</v>
      </c>
      <c r="S255" s="486">
        <f>Q94</f>
        <v>800</v>
      </c>
      <c r="T255" s="486">
        <f>R94</f>
        <v>9.9999999999999995E-7</v>
      </c>
      <c r="U255" s="486" t="str">
        <f>S94</f>
        <v>-</v>
      </c>
      <c r="V255" s="486">
        <f>T94</f>
        <v>0</v>
      </c>
      <c r="W255" s="487">
        <f>U94</f>
        <v>0</v>
      </c>
      <c r="Y255" s="484">
        <v>7</v>
      </c>
      <c r="Z255" s="485">
        <f>X70</f>
        <v>2.4</v>
      </c>
      <c r="AE255" s="441"/>
    </row>
    <row r="256" spans="1:38" ht="13" x14ac:dyDescent="0.3">
      <c r="A256" s="1059"/>
      <c r="B256" s="486">
        <v>10</v>
      </c>
      <c r="C256" s="486">
        <f>C105</f>
        <v>20</v>
      </c>
      <c r="D256" s="486">
        <f>D105</f>
        <v>0.2</v>
      </c>
      <c r="E256" s="486">
        <f>E105</f>
        <v>-0.7</v>
      </c>
      <c r="F256" s="486">
        <f>F105</f>
        <v>0</v>
      </c>
      <c r="G256" s="486">
        <f>G105</f>
        <v>0.44999999999999996</v>
      </c>
      <c r="I256" s="1059"/>
      <c r="J256" s="486">
        <v>10</v>
      </c>
      <c r="K256" s="486">
        <f>J105</f>
        <v>40</v>
      </c>
      <c r="L256" s="486">
        <f>K105</f>
        <v>-3.3</v>
      </c>
      <c r="M256" s="486">
        <f>L105</f>
        <v>-6.4</v>
      </c>
      <c r="N256" s="486">
        <f>M105</f>
        <v>0</v>
      </c>
      <c r="O256" s="486">
        <f>N105</f>
        <v>1.5500000000000003</v>
      </c>
      <c r="Q256" s="1059"/>
      <c r="R256" s="486">
        <v>10</v>
      </c>
      <c r="S256" s="486">
        <f>Q105</f>
        <v>800</v>
      </c>
      <c r="T256" s="486" t="str">
        <f>R105</f>
        <v>-</v>
      </c>
      <c r="U256" s="486" t="str">
        <f>S105</f>
        <v>-</v>
      </c>
      <c r="V256" s="486">
        <f>T105</f>
        <v>0</v>
      </c>
      <c r="W256" s="487">
        <f>U105</f>
        <v>0</v>
      </c>
      <c r="Y256" s="484">
        <v>8</v>
      </c>
      <c r="Z256" s="485">
        <f>X81</f>
        <v>2.5</v>
      </c>
      <c r="AE256" s="441"/>
    </row>
    <row r="257" spans="1:31" ht="13" x14ac:dyDescent="0.3">
      <c r="A257" s="1059"/>
      <c r="B257" s="486">
        <v>11</v>
      </c>
      <c r="C257" s="486">
        <f>C116</f>
        <v>20</v>
      </c>
      <c r="D257" s="486">
        <f>D116</f>
        <v>0.4</v>
      </c>
      <c r="E257" s="486">
        <f>E116</f>
        <v>0.5</v>
      </c>
      <c r="F257" s="486">
        <f>F116</f>
        <v>0</v>
      </c>
      <c r="G257" s="486">
        <f>G116</f>
        <v>4.9999999999999989E-2</v>
      </c>
      <c r="I257" s="1059"/>
      <c r="J257" s="486">
        <v>11</v>
      </c>
      <c r="K257" s="486">
        <f>J116</f>
        <v>40</v>
      </c>
      <c r="L257" s="486">
        <f>K116</f>
        <v>-5.5</v>
      </c>
      <c r="M257" s="486">
        <f>L116</f>
        <v>-5.9</v>
      </c>
      <c r="N257" s="486">
        <f>M116</f>
        <v>0</v>
      </c>
      <c r="O257" s="486">
        <f>N116</f>
        <v>0.20000000000000018</v>
      </c>
      <c r="Q257" s="1059"/>
      <c r="R257" s="486">
        <v>11</v>
      </c>
      <c r="S257" s="486">
        <f>Q116</f>
        <v>800</v>
      </c>
      <c r="T257" s="486" t="str">
        <f>R116</f>
        <v>-</v>
      </c>
      <c r="U257" s="486" t="str">
        <f>S116</f>
        <v>-</v>
      </c>
      <c r="V257" s="486">
        <f>T116</f>
        <v>0</v>
      </c>
      <c r="W257" s="487">
        <f>U116</f>
        <v>0</v>
      </c>
      <c r="Y257" s="484">
        <v>9</v>
      </c>
      <c r="Z257" s="485">
        <f>X92</f>
        <v>2.4</v>
      </c>
      <c r="AE257" s="441"/>
    </row>
    <row r="258" spans="1:31" ht="13" x14ac:dyDescent="0.3">
      <c r="A258" s="1059"/>
      <c r="B258" s="486">
        <v>12</v>
      </c>
      <c r="C258" s="486">
        <f>C127</f>
        <v>20</v>
      </c>
      <c r="D258" s="486">
        <f>D127</f>
        <v>9.9999999999999995E-7</v>
      </c>
      <c r="E258" s="486" t="str">
        <f>E127</f>
        <v>-</v>
      </c>
      <c r="F258" s="486">
        <f>F127</f>
        <v>0</v>
      </c>
      <c r="G258" s="486">
        <f>G127</f>
        <v>0</v>
      </c>
      <c r="I258" s="1059"/>
      <c r="J258" s="486">
        <v>12</v>
      </c>
      <c r="K258" s="486">
        <f>J127</f>
        <v>40</v>
      </c>
      <c r="L258" s="486">
        <f>K127</f>
        <v>-0.1</v>
      </c>
      <c r="M258" s="486" t="str">
        <f>L127</f>
        <v>-</v>
      </c>
      <c r="N258" s="486">
        <f>M127</f>
        <v>0</v>
      </c>
      <c r="O258" s="486">
        <f>N127</f>
        <v>0</v>
      </c>
      <c r="Q258" s="1059"/>
      <c r="R258" s="486">
        <v>12</v>
      </c>
      <c r="S258" s="486">
        <f>Q127</f>
        <v>850</v>
      </c>
      <c r="T258" s="486">
        <f>R127</f>
        <v>-0.5</v>
      </c>
      <c r="U258" s="486" t="str">
        <f>S127</f>
        <v>-</v>
      </c>
      <c r="V258" s="486">
        <f>T127</f>
        <v>0</v>
      </c>
      <c r="W258" s="487">
        <f>U127</f>
        <v>0</v>
      </c>
      <c r="Y258" s="484">
        <v>10</v>
      </c>
      <c r="Z258" s="485">
        <f>X103</f>
        <v>1.5</v>
      </c>
      <c r="AE258" s="441"/>
    </row>
    <row r="259" spans="1:31" ht="13" x14ac:dyDescent="0.3">
      <c r="A259" s="1059"/>
      <c r="B259" s="486">
        <v>13</v>
      </c>
      <c r="C259" s="486">
        <f>C138</f>
        <v>20</v>
      </c>
      <c r="D259" s="486">
        <f>E138</f>
        <v>-0.4</v>
      </c>
      <c r="E259" s="486" t="str">
        <f>F138</f>
        <v>-</v>
      </c>
      <c r="F259" s="486" t="s">
        <v>243</v>
      </c>
      <c r="G259" s="486">
        <f>G138</f>
        <v>0</v>
      </c>
      <c r="I259" s="1059"/>
      <c r="J259" s="486">
        <v>13</v>
      </c>
      <c r="K259" s="486">
        <f>J138</f>
        <v>40</v>
      </c>
      <c r="L259" s="486">
        <f>L138</f>
        <v>-1.3</v>
      </c>
      <c r="M259" s="486" t="str">
        <f>M138</f>
        <v>-</v>
      </c>
      <c r="N259" s="486" t="s">
        <v>243</v>
      </c>
      <c r="O259" s="486">
        <f>N138</f>
        <v>0</v>
      </c>
      <c r="Q259" s="1059"/>
      <c r="R259" s="486">
        <v>13</v>
      </c>
      <c r="S259" s="486">
        <f>Q138</f>
        <v>970</v>
      </c>
      <c r="T259" s="486">
        <f>S138</f>
        <v>1</v>
      </c>
      <c r="U259" s="486" t="str">
        <f>T138</f>
        <v>-</v>
      </c>
      <c r="V259" s="486" t="s">
        <v>243</v>
      </c>
      <c r="W259" s="487">
        <f>U138</f>
        <v>0</v>
      </c>
      <c r="Y259" s="484">
        <v>11</v>
      </c>
      <c r="Z259" s="485">
        <f>X114</f>
        <v>1.8</v>
      </c>
      <c r="AE259" s="441"/>
    </row>
    <row r="260" spans="1:31" ht="13" x14ac:dyDescent="0.3">
      <c r="A260" s="1059"/>
      <c r="B260" s="486">
        <v>14</v>
      </c>
      <c r="C260" s="486">
        <f>C149</f>
        <v>20</v>
      </c>
      <c r="D260" s="486">
        <f>E149</f>
        <v>-0.1</v>
      </c>
      <c r="E260" s="486" t="str">
        <f>F149</f>
        <v>-</v>
      </c>
      <c r="F260" s="486" t="s">
        <v>243</v>
      </c>
      <c r="G260" s="486">
        <f>G149</f>
        <v>0</v>
      </c>
      <c r="I260" s="1059"/>
      <c r="J260" s="486">
        <v>14</v>
      </c>
      <c r="K260" s="486">
        <f>J149</f>
        <v>40</v>
      </c>
      <c r="L260" s="486">
        <f>L149</f>
        <v>0.3</v>
      </c>
      <c r="M260" s="486" t="str">
        <f>M149</f>
        <v>-</v>
      </c>
      <c r="N260" s="486" t="s">
        <v>243</v>
      </c>
      <c r="O260" s="486">
        <f>N149</f>
        <v>0</v>
      </c>
      <c r="Q260" s="1059"/>
      <c r="R260" s="486">
        <v>14</v>
      </c>
      <c r="S260" s="486">
        <f>Q149</f>
        <v>970</v>
      </c>
      <c r="T260" s="486">
        <f>S149</f>
        <v>1</v>
      </c>
      <c r="U260" s="486" t="str">
        <f>T149</f>
        <v>-</v>
      </c>
      <c r="V260" s="486" t="s">
        <v>243</v>
      </c>
      <c r="W260" s="487">
        <f>U149</f>
        <v>0</v>
      </c>
      <c r="Y260" s="484">
        <v>12</v>
      </c>
      <c r="Z260" s="506">
        <f>X125</f>
        <v>2</v>
      </c>
      <c r="AE260" s="441"/>
    </row>
    <row r="261" spans="1:31" ht="13" x14ac:dyDescent="0.3">
      <c r="A261" s="1059"/>
      <c r="B261" s="486">
        <v>15</v>
      </c>
      <c r="C261" s="486">
        <f>C160</f>
        <v>20</v>
      </c>
      <c r="D261" s="486">
        <f>E160</f>
        <v>-0.5</v>
      </c>
      <c r="E261" s="486" t="str">
        <f>F160</f>
        <v>-</v>
      </c>
      <c r="F261" s="486" t="s">
        <v>243</v>
      </c>
      <c r="G261" s="486">
        <f>G160</f>
        <v>0</v>
      </c>
      <c r="I261" s="1059"/>
      <c r="J261" s="486">
        <v>15</v>
      </c>
      <c r="K261" s="486">
        <f>J160</f>
        <v>40</v>
      </c>
      <c r="L261" s="486">
        <f>L160</f>
        <v>-0.3</v>
      </c>
      <c r="M261" s="486" t="str">
        <f>M160</f>
        <v>-</v>
      </c>
      <c r="N261" s="486" t="s">
        <v>243</v>
      </c>
      <c r="O261" s="486">
        <f>N160</f>
        <v>0</v>
      </c>
      <c r="Q261" s="1059"/>
      <c r="R261" s="486">
        <v>15</v>
      </c>
      <c r="S261" s="486">
        <f>Q160</f>
        <v>970</v>
      </c>
      <c r="T261" s="486">
        <f>S160</f>
        <v>1</v>
      </c>
      <c r="U261" s="486" t="str">
        <f>T160</f>
        <v>-</v>
      </c>
      <c r="V261" s="486" t="s">
        <v>243</v>
      </c>
      <c r="W261" s="487">
        <f>U160</f>
        <v>0</v>
      </c>
      <c r="Y261" s="484">
        <v>13</v>
      </c>
      <c r="Z261" s="485">
        <f>X136</f>
        <v>2.2999999999999998</v>
      </c>
      <c r="AE261" s="441"/>
    </row>
    <row r="262" spans="1:31" ht="13" x14ac:dyDescent="0.3">
      <c r="A262" s="1059"/>
      <c r="B262" s="486">
        <v>16</v>
      </c>
      <c r="C262" s="486">
        <f>C171</f>
        <v>20</v>
      </c>
      <c r="D262" s="486">
        <f>D171</f>
        <v>0.2</v>
      </c>
      <c r="E262" s="486" t="str">
        <f>E171</f>
        <v>-</v>
      </c>
      <c r="F262" s="486">
        <f>F171</f>
        <v>0</v>
      </c>
      <c r="G262" s="486">
        <f>G171</f>
        <v>0</v>
      </c>
      <c r="I262" s="1059"/>
      <c r="J262" s="486">
        <v>16</v>
      </c>
      <c r="K262" s="486">
        <f>J171</f>
        <v>40</v>
      </c>
      <c r="L262" s="486">
        <f>K171</f>
        <v>-1.4</v>
      </c>
      <c r="M262" s="486" t="str">
        <f>L171</f>
        <v>-</v>
      </c>
      <c r="N262" s="486">
        <f>M171</f>
        <v>0</v>
      </c>
      <c r="O262" s="486">
        <f>N171</f>
        <v>0</v>
      </c>
      <c r="Q262" s="1059"/>
      <c r="R262" s="486">
        <v>16</v>
      </c>
      <c r="S262" s="486">
        <f>Q171</f>
        <v>850</v>
      </c>
      <c r="T262" s="486">
        <f>R171</f>
        <v>-2.2999999999999998</v>
      </c>
      <c r="U262" s="486" t="str">
        <f>S171</f>
        <v>-</v>
      </c>
      <c r="V262" s="486">
        <f>T171</f>
        <v>0</v>
      </c>
      <c r="W262" s="487">
        <f>U171</f>
        <v>0</v>
      </c>
      <c r="Y262" s="484">
        <v>14</v>
      </c>
      <c r="Z262" s="485">
        <f>X147</f>
        <v>2.7</v>
      </c>
      <c r="AE262" s="441"/>
    </row>
    <row r="263" spans="1:31" ht="13" x14ac:dyDescent="0.3">
      <c r="A263" s="1059"/>
      <c r="B263" s="486">
        <v>17</v>
      </c>
      <c r="C263" s="486">
        <f>C182</f>
        <v>20</v>
      </c>
      <c r="D263" s="486">
        <f>D182</f>
        <v>0.1</v>
      </c>
      <c r="E263" s="486" t="str">
        <f>E182</f>
        <v>-</v>
      </c>
      <c r="F263" s="486">
        <f>F182</f>
        <v>0</v>
      </c>
      <c r="G263" s="486">
        <f>G182</f>
        <v>0</v>
      </c>
      <c r="I263" s="1059"/>
      <c r="J263" s="486">
        <v>17</v>
      </c>
      <c r="K263" s="486">
        <f>J182</f>
        <v>40</v>
      </c>
      <c r="L263" s="486">
        <f>K182</f>
        <v>0.2</v>
      </c>
      <c r="M263" s="486" t="str">
        <f>L182</f>
        <v>-</v>
      </c>
      <c r="N263" s="486">
        <f>M182</f>
        <v>0</v>
      </c>
      <c r="O263" s="486">
        <f>N182</f>
        <v>0</v>
      </c>
      <c r="Q263" s="1059"/>
      <c r="R263" s="486">
        <v>17</v>
      </c>
      <c r="S263" s="486">
        <f>Q182</f>
        <v>970</v>
      </c>
      <c r="T263" s="486">
        <f>R182</f>
        <v>-0.6</v>
      </c>
      <c r="U263" s="486" t="str">
        <f>S182</f>
        <v>-</v>
      </c>
      <c r="V263" s="486">
        <f>T182</f>
        <v>0</v>
      </c>
      <c r="W263" s="487">
        <f>U182</f>
        <v>0</v>
      </c>
      <c r="Y263" s="484">
        <v>15</v>
      </c>
      <c r="Z263" s="485">
        <f>X158</f>
        <v>2.6</v>
      </c>
      <c r="AE263" s="441"/>
    </row>
    <row r="264" spans="1:31" ht="13" x14ac:dyDescent="0.3">
      <c r="A264" s="1059"/>
      <c r="B264" s="486">
        <v>18</v>
      </c>
      <c r="C264" s="486">
        <f>C193</f>
        <v>20</v>
      </c>
      <c r="D264" s="486">
        <f>D193</f>
        <v>-0.1</v>
      </c>
      <c r="E264" s="486" t="str">
        <f>E193</f>
        <v>-</v>
      </c>
      <c r="F264" s="486">
        <f>F193</f>
        <v>0</v>
      </c>
      <c r="G264" s="486">
        <f>G193</f>
        <v>0</v>
      </c>
      <c r="I264" s="1059"/>
      <c r="J264" s="486">
        <v>18</v>
      </c>
      <c r="K264" s="486">
        <f>J193</f>
        <v>40</v>
      </c>
      <c r="L264" s="486">
        <f>K193</f>
        <v>-0.2</v>
      </c>
      <c r="M264" s="486" t="str">
        <f>L193</f>
        <v>-</v>
      </c>
      <c r="N264" s="486">
        <f>M193</f>
        <v>0</v>
      </c>
      <c r="O264" s="486">
        <f>N193</f>
        <v>0</v>
      </c>
      <c r="Q264" s="1059"/>
      <c r="R264" s="486">
        <v>18</v>
      </c>
      <c r="S264" s="486">
        <f>Q193</f>
        <v>850</v>
      </c>
      <c r="T264" s="486">
        <f>R193</f>
        <v>-1.3</v>
      </c>
      <c r="U264" s="486" t="str">
        <f>S193</f>
        <v>-</v>
      </c>
      <c r="V264" s="486">
        <f>T193</f>
        <v>0</v>
      </c>
      <c r="W264" s="487">
        <f>U193</f>
        <v>0</v>
      </c>
      <c r="Y264" s="484">
        <v>16</v>
      </c>
      <c r="Z264" s="485">
        <f>X169</f>
        <v>2.2000000000000002</v>
      </c>
      <c r="AE264" s="441"/>
    </row>
    <row r="265" spans="1:31" ht="13" x14ac:dyDescent="0.3">
      <c r="A265" s="1059"/>
      <c r="B265" s="486">
        <v>19</v>
      </c>
      <c r="C265" s="486">
        <f>C204</f>
        <v>20</v>
      </c>
      <c r="D265" s="486">
        <f>D204</f>
        <v>0.1</v>
      </c>
      <c r="E265" s="486" t="str">
        <f>E204</f>
        <v>-</v>
      </c>
      <c r="F265" s="486">
        <f>F204</f>
        <v>0</v>
      </c>
      <c r="G265" s="486">
        <f>G204</f>
        <v>0</v>
      </c>
      <c r="I265" s="1059"/>
      <c r="J265" s="486">
        <v>19</v>
      </c>
      <c r="K265" s="486">
        <f>J204</f>
        <v>40</v>
      </c>
      <c r="L265" s="486">
        <f>K204</f>
        <v>-0.8</v>
      </c>
      <c r="M265" s="486" t="str">
        <f>L204</f>
        <v>-</v>
      </c>
      <c r="N265" s="486">
        <f>M204</f>
        <v>0</v>
      </c>
      <c r="O265" s="486">
        <f>N204</f>
        <v>0</v>
      </c>
      <c r="Q265" s="1059"/>
      <c r="R265" s="486">
        <v>19</v>
      </c>
      <c r="S265" s="486">
        <f>Q204</f>
        <v>800</v>
      </c>
      <c r="T265" s="486">
        <f>R204</f>
        <v>2.5</v>
      </c>
      <c r="U265" s="486" t="str">
        <f>S204</f>
        <v>-</v>
      </c>
      <c r="V265" s="486">
        <f>T204</f>
        <v>0</v>
      </c>
      <c r="W265" s="487">
        <f>U204</f>
        <v>0</v>
      </c>
      <c r="Y265" s="484">
        <v>17</v>
      </c>
      <c r="Z265" s="485">
        <f>X180</f>
        <v>2.8</v>
      </c>
      <c r="AE265" s="441"/>
    </row>
    <row r="266" spans="1:31" ht="13.5" thickBot="1" x14ac:dyDescent="0.35">
      <c r="A266" s="1059"/>
      <c r="B266" s="486">
        <v>20</v>
      </c>
      <c r="C266" s="486">
        <f>C215</f>
        <v>19.7</v>
      </c>
      <c r="D266" s="486">
        <f>D215</f>
        <v>9.9999999999999995E-7</v>
      </c>
      <c r="E266" s="486" t="str">
        <f>E215</f>
        <v>-</v>
      </c>
      <c r="F266" s="486">
        <f>F215</f>
        <v>9.9999999999999995E-7</v>
      </c>
      <c r="G266" s="486">
        <f>G215</f>
        <v>0</v>
      </c>
      <c r="I266" s="1059"/>
      <c r="J266" s="486">
        <v>20</v>
      </c>
      <c r="K266" s="486">
        <f>J215</f>
        <v>54.3</v>
      </c>
      <c r="L266" s="486">
        <f>K215</f>
        <v>9.9999999999999995E-7</v>
      </c>
      <c r="M266" s="486" t="str">
        <f>L215</f>
        <v>-</v>
      </c>
      <c r="N266" s="486">
        <f>M215</f>
        <v>0</v>
      </c>
      <c r="O266" s="486">
        <f>N215</f>
        <v>0</v>
      </c>
      <c r="Q266" s="1061"/>
      <c r="R266" s="495">
        <v>20</v>
      </c>
      <c r="S266" s="495">
        <f>Q215</f>
        <v>800</v>
      </c>
      <c r="T266" s="495" t="str">
        <f>R215</f>
        <v>-</v>
      </c>
      <c r="U266" s="495" t="str">
        <f>S215</f>
        <v>-</v>
      </c>
      <c r="V266" s="495">
        <f>T215</f>
        <v>0</v>
      </c>
      <c r="W266" s="507">
        <f>U215</f>
        <v>0</v>
      </c>
      <c r="Y266" s="484">
        <v>18</v>
      </c>
      <c r="Z266" s="485">
        <f>X191</f>
        <v>1.6</v>
      </c>
      <c r="AE266" s="498"/>
    </row>
    <row r="267" spans="1:31" ht="13.5" thickBot="1" x14ac:dyDescent="0.35">
      <c r="A267" s="73"/>
      <c r="B267" s="73"/>
      <c r="C267" s="73"/>
      <c r="D267" s="73"/>
      <c r="E267" s="73"/>
      <c r="F267" s="480"/>
      <c r="G267" s="73"/>
      <c r="I267" s="73"/>
      <c r="J267" s="73"/>
      <c r="K267" s="73"/>
      <c r="L267" s="73"/>
      <c r="M267" s="73"/>
      <c r="N267" s="480"/>
      <c r="O267" s="73"/>
      <c r="Q267" s="508"/>
      <c r="R267" s="499"/>
      <c r="S267" s="312"/>
      <c r="T267" s="312"/>
      <c r="U267" s="312"/>
      <c r="W267" s="313"/>
      <c r="Y267" s="484">
        <v>19</v>
      </c>
      <c r="Z267" s="492">
        <f>X202</f>
        <v>1.5</v>
      </c>
      <c r="AE267" s="441"/>
    </row>
    <row r="268" spans="1:31" ht="13.5" thickBot="1" x14ac:dyDescent="0.35">
      <c r="A268" s="1059">
        <v>3</v>
      </c>
      <c r="B268" s="486">
        <v>1</v>
      </c>
      <c r="C268" s="486">
        <f>C7</f>
        <v>25</v>
      </c>
      <c r="D268" s="486">
        <f>D7</f>
        <v>9.9999999999999995E-7</v>
      </c>
      <c r="E268" s="486">
        <f>E7</f>
        <v>0.1</v>
      </c>
      <c r="F268" s="486">
        <f>F7</f>
        <v>0</v>
      </c>
      <c r="G268" s="486">
        <f>G7</f>
        <v>0.05</v>
      </c>
      <c r="I268" s="1059">
        <v>3</v>
      </c>
      <c r="J268" s="486">
        <v>1</v>
      </c>
      <c r="K268" s="486">
        <f>J7</f>
        <v>50</v>
      </c>
      <c r="L268" s="486">
        <f>K7</f>
        <v>-5.8</v>
      </c>
      <c r="M268" s="486">
        <f>L7</f>
        <v>-7.2</v>
      </c>
      <c r="N268" s="486">
        <f>M7</f>
        <v>0</v>
      </c>
      <c r="O268" s="486">
        <f>N7</f>
        <v>0.70000000000000018</v>
      </c>
      <c r="Q268" s="1060">
        <v>3</v>
      </c>
      <c r="R268" s="502">
        <v>1</v>
      </c>
      <c r="S268" s="502">
        <f>Q7</f>
        <v>850</v>
      </c>
      <c r="T268" s="502" t="str">
        <f>R7</f>
        <v>-</v>
      </c>
      <c r="U268" s="502" t="str">
        <f>S7</f>
        <v>-</v>
      </c>
      <c r="V268" s="502">
        <f>T7</f>
        <v>0</v>
      </c>
      <c r="W268" s="509">
        <f>U7</f>
        <v>0</v>
      </c>
      <c r="Y268" s="493">
        <v>20</v>
      </c>
      <c r="Z268" s="494">
        <f>X213</f>
        <v>0</v>
      </c>
      <c r="AE268" s="505"/>
    </row>
    <row r="269" spans="1:31" ht="13" x14ac:dyDescent="0.3">
      <c r="A269" s="1059"/>
      <c r="B269" s="486">
        <v>2</v>
      </c>
      <c r="C269" s="486">
        <f>C18</f>
        <v>25</v>
      </c>
      <c r="D269" s="486">
        <f>D18</f>
        <v>0.5</v>
      </c>
      <c r="E269" s="486">
        <f>E18</f>
        <v>-0.2</v>
      </c>
      <c r="F269" s="486">
        <f>F18</f>
        <v>0</v>
      </c>
      <c r="G269" s="486">
        <f>G18</f>
        <v>0.35</v>
      </c>
      <c r="I269" s="1059"/>
      <c r="J269" s="486">
        <v>2</v>
      </c>
      <c r="K269" s="486">
        <f>J18</f>
        <v>50</v>
      </c>
      <c r="L269" s="486">
        <f>K18</f>
        <v>-5.3</v>
      </c>
      <c r="M269" s="486">
        <f>L18</f>
        <v>-1.5</v>
      </c>
      <c r="N269" s="486">
        <f>M18</f>
        <v>0</v>
      </c>
      <c r="O269" s="486">
        <f>N18</f>
        <v>1.9</v>
      </c>
      <c r="Q269" s="1059"/>
      <c r="R269" s="486">
        <v>2</v>
      </c>
      <c r="S269" s="486">
        <f>Q18</f>
        <v>850</v>
      </c>
      <c r="T269" s="486" t="str">
        <f>R18</f>
        <v>-</v>
      </c>
      <c r="U269" s="486" t="str">
        <f>S18</f>
        <v>-</v>
      </c>
      <c r="V269" s="486">
        <f>T18</f>
        <v>0</v>
      </c>
      <c r="W269" s="487">
        <f>U18</f>
        <v>0</v>
      </c>
      <c r="AE269" s="441"/>
    </row>
    <row r="270" spans="1:31" ht="13.5" thickBot="1" x14ac:dyDescent="0.35">
      <c r="A270" s="1059"/>
      <c r="B270" s="486">
        <v>3</v>
      </c>
      <c r="C270" s="486">
        <f>C29</f>
        <v>25</v>
      </c>
      <c r="D270" s="486">
        <f>D29</f>
        <v>0.7</v>
      </c>
      <c r="E270" s="486">
        <f>E29</f>
        <v>-0.1</v>
      </c>
      <c r="F270" s="486">
        <f>F29</f>
        <v>0</v>
      </c>
      <c r="G270" s="486">
        <f>G29</f>
        <v>0.39999999999999997</v>
      </c>
      <c r="I270" s="1059"/>
      <c r="J270" s="486">
        <v>3</v>
      </c>
      <c r="K270" s="486">
        <f>J29</f>
        <v>50</v>
      </c>
      <c r="L270" s="486">
        <f>K29</f>
        <v>-4.5</v>
      </c>
      <c r="M270" s="486">
        <f>L29</f>
        <v>-4.9000000000000004</v>
      </c>
      <c r="N270" s="486">
        <f>M29</f>
        <v>0</v>
      </c>
      <c r="O270" s="486">
        <f>N29</f>
        <v>0.20000000000000018</v>
      </c>
      <c r="Q270" s="1059"/>
      <c r="R270" s="486">
        <v>3</v>
      </c>
      <c r="S270" s="486">
        <f>Q29</f>
        <v>850</v>
      </c>
      <c r="T270" s="486" t="str">
        <f>R29</f>
        <v>-</v>
      </c>
      <c r="U270" s="486" t="str">
        <f>S29</f>
        <v>-</v>
      </c>
      <c r="V270" s="486">
        <f>T29</f>
        <v>0</v>
      </c>
      <c r="W270" s="487">
        <f>U29</f>
        <v>0</v>
      </c>
      <c r="AE270" s="441"/>
    </row>
    <row r="271" spans="1:31" ht="13" x14ac:dyDescent="0.3">
      <c r="A271" s="1059"/>
      <c r="B271" s="486">
        <v>4</v>
      </c>
      <c r="C271" s="486">
        <f>C40</f>
        <v>25</v>
      </c>
      <c r="D271" s="486">
        <f>D40</f>
        <v>-0.1</v>
      </c>
      <c r="E271" s="486">
        <f>E40</f>
        <v>-0.5</v>
      </c>
      <c r="F271" s="486">
        <f>F40</f>
        <v>0</v>
      </c>
      <c r="G271" s="486">
        <f>G40</f>
        <v>0.2</v>
      </c>
      <c r="I271" s="1059"/>
      <c r="J271" s="486">
        <v>4</v>
      </c>
      <c r="K271" s="486">
        <f>J40</f>
        <v>50</v>
      </c>
      <c r="L271" s="486">
        <f>K40</f>
        <v>-4.3</v>
      </c>
      <c r="M271" s="486">
        <f>L40</f>
        <v>-1</v>
      </c>
      <c r="N271" s="486">
        <f>M40</f>
        <v>0</v>
      </c>
      <c r="O271" s="486">
        <f>N40</f>
        <v>1.65</v>
      </c>
      <c r="Q271" s="1059"/>
      <c r="R271" s="486">
        <v>4</v>
      </c>
      <c r="S271" s="486">
        <f>Q40</f>
        <v>850</v>
      </c>
      <c r="T271" s="486" t="str">
        <f>R40</f>
        <v>-</v>
      </c>
      <c r="U271" s="486" t="str">
        <f>S40</f>
        <v>-</v>
      </c>
      <c r="V271" s="486">
        <f>T40</f>
        <v>0</v>
      </c>
      <c r="W271" s="487">
        <f>U40</f>
        <v>0</v>
      </c>
      <c r="Y271" s="1049" t="s">
        <v>222</v>
      </c>
      <c r="Z271" s="1050"/>
      <c r="AE271" s="441"/>
    </row>
    <row r="272" spans="1:31" ht="13" x14ac:dyDescent="0.3">
      <c r="A272" s="1059"/>
      <c r="B272" s="486">
        <v>5</v>
      </c>
      <c r="C272" s="486">
        <f>C51</f>
        <v>25</v>
      </c>
      <c r="D272" s="486">
        <f>D51</f>
        <v>0.4</v>
      </c>
      <c r="E272" s="486">
        <f>E51</f>
        <v>0.2</v>
      </c>
      <c r="F272" s="486">
        <f>F51</f>
        <v>0</v>
      </c>
      <c r="G272" s="486">
        <f>G51</f>
        <v>0.1</v>
      </c>
      <c r="I272" s="1059"/>
      <c r="J272" s="486">
        <v>5</v>
      </c>
      <c r="K272" s="486">
        <f>J51</f>
        <v>50</v>
      </c>
      <c r="L272" s="486">
        <f>K51</f>
        <v>-6.2</v>
      </c>
      <c r="M272" s="486">
        <f>L51</f>
        <v>-6.2</v>
      </c>
      <c r="N272" s="486">
        <f>M51</f>
        <v>0</v>
      </c>
      <c r="O272" s="486">
        <f>N51</f>
        <v>0</v>
      </c>
      <c r="Q272" s="1059"/>
      <c r="R272" s="486">
        <v>5</v>
      </c>
      <c r="S272" s="486">
        <f>Q51</f>
        <v>850</v>
      </c>
      <c r="T272" s="486" t="str">
        <f>R51</f>
        <v>-</v>
      </c>
      <c r="U272" s="486" t="str">
        <f>S51</f>
        <v>-</v>
      </c>
      <c r="V272" s="486">
        <f>T51</f>
        <v>0</v>
      </c>
      <c r="W272" s="487">
        <f>U51</f>
        <v>0</v>
      </c>
      <c r="Y272" s="1056" t="s">
        <v>274</v>
      </c>
      <c r="Z272" s="1057"/>
      <c r="AE272" s="441"/>
    </row>
    <row r="273" spans="1:31" ht="13" x14ac:dyDescent="0.3">
      <c r="A273" s="1059"/>
      <c r="B273" s="486">
        <v>6</v>
      </c>
      <c r="C273" s="486">
        <f>C62</f>
        <v>25</v>
      </c>
      <c r="D273" s="486">
        <f>D62</f>
        <v>0.2</v>
      </c>
      <c r="E273" s="486">
        <f>E62</f>
        <v>-0.1</v>
      </c>
      <c r="F273" s="486">
        <f>F62</f>
        <v>0</v>
      </c>
      <c r="G273" s="486">
        <f>G62</f>
        <v>0.15000000000000002</v>
      </c>
      <c r="I273" s="1059"/>
      <c r="J273" s="486">
        <v>6</v>
      </c>
      <c r="K273" s="486">
        <f>J62</f>
        <v>50</v>
      </c>
      <c r="L273" s="486">
        <f>K62</f>
        <v>-5.4</v>
      </c>
      <c r="M273" s="486">
        <f>L62</f>
        <v>1.2</v>
      </c>
      <c r="N273" s="486">
        <f>M62</f>
        <v>0</v>
      </c>
      <c r="O273" s="486">
        <f>N62</f>
        <v>3.3000000000000003</v>
      </c>
      <c r="Q273" s="1059"/>
      <c r="R273" s="486">
        <v>6</v>
      </c>
      <c r="S273" s="486">
        <f>Q62</f>
        <v>850</v>
      </c>
      <c r="T273" s="486">
        <f>R62</f>
        <v>0.9</v>
      </c>
      <c r="U273" s="486">
        <f>S62</f>
        <v>1.1000000000000001</v>
      </c>
      <c r="V273" s="486">
        <f>T62</f>
        <v>0</v>
      </c>
      <c r="W273" s="487">
        <f>U62</f>
        <v>0.10000000000000003</v>
      </c>
      <c r="Y273" s="484">
        <v>1</v>
      </c>
      <c r="Z273" s="485">
        <f>X5</f>
        <v>0</v>
      </c>
      <c r="AE273" s="441"/>
    </row>
    <row r="274" spans="1:31" ht="13" x14ac:dyDescent="0.3">
      <c r="A274" s="1059"/>
      <c r="B274" s="486">
        <v>7</v>
      </c>
      <c r="C274" s="486">
        <f>C73</f>
        <v>25</v>
      </c>
      <c r="D274" s="486">
        <f>D73</f>
        <v>9.9999999999999995E-7</v>
      </c>
      <c r="E274" s="486">
        <f>E73</f>
        <v>-0.2</v>
      </c>
      <c r="F274" s="486">
        <f>F73</f>
        <v>0</v>
      </c>
      <c r="G274" s="486">
        <f>G73</f>
        <v>0.10000050000000001</v>
      </c>
      <c r="I274" s="1059"/>
      <c r="J274" s="486">
        <v>7</v>
      </c>
      <c r="K274" s="486">
        <f>J73</f>
        <v>50</v>
      </c>
      <c r="L274" s="486">
        <f>K73</f>
        <v>-1.9</v>
      </c>
      <c r="M274" s="486">
        <f>L73</f>
        <v>0.8</v>
      </c>
      <c r="N274" s="486">
        <f>M73</f>
        <v>0</v>
      </c>
      <c r="O274" s="486">
        <f>N73</f>
        <v>1.35</v>
      </c>
      <c r="Q274" s="1059"/>
      <c r="R274" s="486">
        <v>7</v>
      </c>
      <c r="S274" s="486">
        <f>Q73</f>
        <v>850</v>
      </c>
      <c r="T274" s="486">
        <f>R73</f>
        <v>9.9999999999999995E-7</v>
      </c>
      <c r="U274" s="486">
        <f>S73</f>
        <v>1.7</v>
      </c>
      <c r="V274" s="486">
        <f>T73</f>
        <v>0</v>
      </c>
      <c r="W274" s="487">
        <f>U73</f>
        <v>0.84999950000000002</v>
      </c>
      <c r="Y274" s="488">
        <v>2</v>
      </c>
      <c r="Z274" s="485">
        <f>X16</f>
        <v>0</v>
      </c>
      <c r="AE274" s="441"/>
    </row>
    <row r="275" spans="1:31" ht="13" x14ac:dyDescent="0.3">
      <c r="A275" s="1059"/>
      <c r="B275" s="486">
        <v>8</v>
      </c>
      <c r="C275" s="486">
        <f>C84</f>
        <v>25</v>
      </c>
      <c r="D275" s="486">
        <f>D84</f>
        <v>-0.1</v>
      </c>
      <c r="E275" s="486">
        <f>E84</f>
        <v>-0.4</v>
      </c>
      <c r="F275" s="486">
        <f>F84</f>
        <v>0</v>
      </c>
      <c r="G275" s="486">
        <f>G84</f>
        <v>0.15000000000000002</v>
      </c>
      <c r="I275" s="1059"/>
      <c r="J275" s="486">
        <v>8</v>
      </c>
      <c r="K275" s="486">
        <f>J84</f>
        <v>50</v>
      </c>
      <c r="L275" s="486">
        <f>K84</f>
        <v>-3.8</v>
      </c>
      <c r="M275" s="486">
        <f>L84</f>
        <v>-1.2</v>
      </c>
      <c r="N275" s="486">
        <f>M84</f>
        <v>0</v>
      </c>
      <c r="O275" s="486">
        <f>N84</f>
        <v>1.2999999999999998</v>
      </c>
      <c r="Q275" s="1059"/>
      <c r="R275" s="486">
        <v>8</v>
      </c>
      <c r="S275" s="486">
        <f>Q84</f>
        <v>850</v>
      </c>
      <c r="T275" s="486">
        <f>R84</f>
        <v>9.9999999999999995E-7</v>
      </c>
      <c r="U275" s="486">
        <f>S84</f>
        <v>9.9999999999999995E-7</v>
      </c>
      <c r="V275" s="486">
        <f>T84</f>
        <v>0</v>
      </c>
      <c r="W275" s="487">
        <f>U84</f>
        <v>0</v>
      </c>
      <c r="Y275" s="488">
        <v>3</v>
      </c>
      <c r="Z275" s="489">
        <f>X27</f>
        <v>0</v>
      </c>
      <c r="AE275" s="441"/>
    </row>
    <row r="276" spans="1:31" ht="13" x14ac:dyDescent="0.3">
      <c r="A276" s="1059"/>
      <c r="B276" s="486">
        <v>9</v>
      </c>
      <c r="C276" s="486">
        <f>C95</f>
        <v>25</v>
      </c>
      <c r="D276" s="486">
        <f>D95</f>
        <v>-0.4</v>
      </c>
      <c r="E276" s="486" t="str">
        <f>E95</f>
        <v>-</v>
      </c>
      <c r="F276" s="486">
        <f>F95</f>
        <v>0</v>
      </c>
      <c r="G276" s="486">
        <f>G95</f>
        <v>0</v>
      </c>
      <c r="I276" s="1059"/>
      <c r="J276" s="486">
        <v>9</v>
      </c>
      <c r="K276" s="486">
        <f>J95</f>
        <v>50</v>
      </c>
      <c r="L276" s="486">
        <f>K95</f>
        <v>-0.9</v>
      </c>
      <c r="M276" s="486" t="str">
        <f>L95</f>
        <v>-</v>
      </c>
      <c r="N276" s="486">
        <f>M95</f>
        <v>0</v>
      </c>
      <c r="O276" s="486">
        <f>N95</f>
        <v>0</v>
      </c>
      <c r="Q276" s="1059"/>
      <c r="R276" s="486">
        <v>9</v>
      </c>
      <c r="S276" s="486">
        <f>Q95</f>
        <v>850</v>
      </c>
      <c r="T276" s="486">
        <f>R95</f>
        <v>9.9999999999999995E-7</v>
      </c>
      <c r="U276" s="486" t="str">
        <f>S95</f>
        <v>-</v>
      </c>
      <c r="V276" s="486">
        <f>T95</f>
        <v>0</v>
      </c>
      <c r="W276" s="487">
        <f>U95</f>
        <v>0</v>
      </c>
      <c r="Y276" s="488">
        <v>4</v>
      </c>
      <c r="Z276" s="489">
        <f>X38</f>
        <v>0</v>
      </c>
      <c r="AE276" s="441"/>
    </row>
    <row r="277" spans="1:31" ht="13" x14ac:dyDescent="0.3">
      <c r="A277" s="1059"/>
      <c r="B277" s="486">
        <v>10</v>
      </c>
      <c r="C277" s="486">
        <f>C106</f>
        <v>25</v>
      </c>
      <c r="D277" s="486">
        <f>D106</f>
        <v>0.1</v>
      </c>
      <c r="E277" s="486">
        <f>E106</f>
        <v>-0.5</v>
      </c>
      <c r="F277" s="486">
        <f>F106</f>
        <v>0</v>
      </c>
      <c r="G277" s="486">
        <f>G106</f>
        <v>0.3</v>
      </c>
      <c r="I277" s="1059"/>
      <c r="J277" s="486">
        <v>10</v>
      </c>
      <c r="K277" s="486">
        <f>J106</f>
        <v>50</v>
      </c>
      <c r="L277" s="486">
        <f>K106</f>
        <v>-3.1</v>
      </c>
      <c r="M277" s="486">
        <f>L106</f>
        <v>-6.1</v>
      </c>
      <c r="N277" s="486">
        <f>M106</f>
        <v>0</v>
      </c>
      <c r="O277" s="486">
        <f>N106</f>
        <v>1.4999999999999998</v>
      </c>
      <c r="Q277" s="1059"/>
      <c r="R277" s="486">
        <v>10</v>
      </c>
      <c r="S277" s="486">
        <f>Q106</f>
        <v>850</v>
      </c>
      <c r="T277" s="486" t="str">
        <f>R106</f>
        <v>-</v>
      </c>
      <c r="U277" s="486" t="str">
        <f>S106</f>
        <v>-</v>
      </c>
      <c r="V277" s="486">
        <f>T106</f>
        <v>0</v>
      </c>
      <c r="W277" s="487">
        <f>U106</f>
        <v>0</v>
      </c>
      <c r="Y277" s="488">
        <v>5</v>
      </c>
      <c r="Z277" s="489">
        <f>X49</f>
        <v>0</v>
      </c>
      <c r="AE277" s="441"/>
    </row>
    <row r="278" spans="1:31" ht="13" x14ac:dyDescent="0.3">
      <c r="A278" s="1059"/>
      <c r="B278" s="486">
        <v>11</v>
      </c>
      <c r="C278" s="486">
        <f>C117</f>
        <v>25</v>
      </c>
      <c r="D278" s="486">
        <f>D117</f>
        <v>0.4</v>
      </c>
      <c r="E278" s="486">
        <f>E117</f>
        <v>0.5</v>
      </c>
      <c r="F278" s="486">
        <f>F117</f>
        <v>0</v>
      </c>
      <c r="G278" s="486">
        <f>G117</f>
        <v>4.9999999999999989E-2</v>
      </c>
      <c r="I278" s="1059"/>
      <c r="J278" s="486">
        <v>11</v>
      </c>
      <c r="K278" s="486">
        <f>J117</f>
        <v>50</v>
      </c>
      <c r="L278" s="486">
        <f>K117</f>
        <v>-5.5</v>
      </c>
      <c r="M278" s="486">
        <f>L117</f>
        <v>-5.6</v>
      </c>
      <c r="N278" s="486">
        <f>M117</f>
        <v>0</v>
      </c>
      <c r="O278" s="486">
        <f>N117</f>
        <v>4.9999999999999822E-2</v>
      </c>
      <c r="Q278" s="1059"/>
      <c r="R278" s="486">
        <v>11</v>
      </c>
      <c r="S278" s="486">
        <f>Q117</f>
        <v>850</v>
      </c>
      <c r="T278" s="486" t="str">
        <f>R117</f>
        <v>-</v>
      </c>
      <c r="U278" s="486" t="str">
        <f>S117</f>
        <v>-</v>
      </c>
      <c r="V278" s="486">
        <f>T117</f>
        <v>0</v>
      </c>
      <c r="W278" s="487">
        <f>U117</f>
        <v>0</v>
      </c>
      <c r="Y278" s="484">
        <v>6</v>
      </c>
      <c r="Z278" s="485">
        <f>X60</f>
        <v>1.6</v>
      </c>
      <c r="AE278" s="441"/>
    </row>
    <row r="279" spans="1:31" ht="13" x14ac:dyDescent="0.3">
      <c r="A279" s="1059"/>
      <c r="B279" s="486">
        <v>12</v>
      </c>
      <c r="C279" s="486">
        <f>C128</f>
        <v>25</v>
      </c>
      <c r="D279" s="486">
        <f>D128</f>
        <v>9.9999999999999995E-7</v>
      </c>
      <c r="E279" s="486" t="str">
        <f>E128</f>
        <v>-</v>
      </c>
      <c r="F279" s="486">
        <f>F128</f>
        <v>0</v>
      </c>
      <c r="G279" s="486">
        <f>G128</f>
        <v>0</v>
      </c>
      <c r="I279" s="1059"/>
      <c r="J279" s="486">
        <v>12</v>
      </c>
      <c r="K279" s="486">
        <f>J128</f>
        <v>50</v>
      </c>
      <c r="L279" s="486">
        <f>K128</f>
        <v>9.9999999999999995E-7</v>
      </c>
      <c r="M279" s="486" t="str">
        <f>L128</f>
        <v>-</v>
      </c>
      <c r="N279" s="486">
        <f>M128</f>
        <v>0</v>
      </c>
      <c r="O279" s="486">
        <f>N128</f>
        <v>0</v>
      </c>
      <c r="Q279" s="1059"/>
      <c r="R279" s="486">
        <v>12</v>
      </c>
      <c r="S279" s="486">
        <f>Q128</f>
        <v>900</v>
      </c>
      <c r="T279" s="486">
        <f>R128</f>
        <v>-0.6</v>
      </c>
      <c r="U279" s="486" t="str">
        <f>S128</f>
        <v>-</v>
      </c>
      <c r="V279" s="486">
        <f>T128</f>
        <v>0</v>
      </c>
      <c r="W279" s="487">
        <f>U128</f>
        <v>0</v>
      </c>
      <c r="Y279" s="484">
        <v>7</v>
      </c>
      <c r="Z279" s="485">
        <f>X71</f>
        <v>2.4</v>
      </c>
      <c r="AE279" s="441"/>
    </row>
    <row r="280" spans="1:31" ht="13" x14ac:dyDescent="0.3">
      <c r="A280" s="1059"/>
      <c r="B280" s="486">
        <v>13</v>
      </c>
      <c r="C280" s="486">
        <f>C139</f>
        <v>25</v>
      </c>
      <c r="D280" s="486">
        <f>E139</f>
        <v>-0.2</v>
      </c>
      <c r="E280" s="486" t="str">
        <f>F139</f>
        <v>-</v>
      </c>
      <c r="F280" s="486" t="s">
        <v>243</v>
      </c>
      <c r="G280" s="486">
        <f>G139</f>
        <v>0</v>
      </c>
      <c r="I280" s="1059"/>
      <c r="J280" s="486">
        <v>13</v>
      </c>
      <c r="K280" s="486">
        <f>J139</f>
        <v>50</v>
      </c>
      <c r="L280" s="486">
        <f>L139</f>
        <v>-1.3</v>
      </c>
      <c r="M280" s="486" t="str">
        <f>M139</f>
        <v>-</v>
      </c>
      <c r="N280" s="486" t="s">
        <v>243</v>
      </c>
      <c r="O280" s="486">
        <f>N139</f>
        <v>0</v>
      </c>
      <c r="Q280" s="1059"/>
      <c r="R280" s="486">
        <v>13</v>
      </c>
      <c r="S280" s="486">
        <f>Q139</f>
        <v>980</v>
      </c>
      <c r="T280" s="486">
        <f>S139</f>
        <v>1</v>
      </c>
      <c r="U280" s="486" t="str">
        <f>T139</f>
        <v>-</v>
      </c>
      <c r="V280" s="486" t="s">
        <v>243</v>
      </c>
      <c r="W280" s="487">
        <f>U139</f>
        <v>0</v>
      </c>
      <c r="Y280" s="484">
        <v>8</v>
      </c>
      <c r="Z280" s="485">
        <f>X82</f>
        <v>2.1</v>
      </c>
      <c r="AE280" s="441"/>
    </row>
    <row r="281" spans="1:31" ht="13" x14ac:dyDescent="0.3">
      <c r="A281" s="1059"/>
      <c r="B281" s="486">
        <v>14</v>
      </c>
      <c r="C281" s="486">
        <f>C150</f>
        <v>25</v>
      </c>
      <c r="D281" s="486">
        <f>E150</f>
        <v>-0.1</v>
      </c>
      <c r="E281" s="486" t="str">
        <f>F150</f>
        <v>-</v>
      </c>
      <c r="F281" s="486" t="s">
        <v>243</v>
      </c>
      <c r="G281" s="486">
        <f>G150</f>
        <v>0</v>
      </c>
      <c r="I281" s="1059"/>
      <c r="J281" s="486">
        <v>14</v>
      </c>
      <c r="K281" s="486">
        <f>J151</f>
        <v>60</v>
      </c>
      <c r="L281" s="486">
        <f>L151</f>
        <v>-0.6</v>
      </c>
      <c r="M281" s="486" t="str">
        <f>M151</f>
        <v>-</v>
      </c>
      <c r="N281" s="486" t="s">
        <v>243</v>
      </c>
      <c r="O281" s="486">
        <f>N151</f>
        <v>0</v>
      </c>
      <c r="Q281" s="1059"/>
      <c r="R281" s="486">
        <v>14</v>
      </c>
      <c r="S281" s="486">
        <f>Q150</f>
        <v>980</v>
      </c>
      <c r="T281" s="486">
        <f>S150</f>
        <v>1</v>
      </c>
      <c r="U281" s="486" t="str">
        <f>T150</f>
        <v>-</v>
      </c>
      <c r="V281" s="486" t="s">
        <v>243</v>
      </c>
      <c r="W281" s="487">
        <f>U150</f>
        <v>0</v>
      </c>
      <c r="Y281" s="484">
        <v>9</v>
      </c>
      <c r="Z281" s="485">
        <f>X93</f>
        <v>2.2000000000000002</v>
      </c>
      <c r="AE281" s="441"/>
    </row>
    <row r="282" spans="1:31" ht="13" x14ac:dyDescent="0.3">
      <c r="A282" s="1059"/>
      <c r="B282" s="486">
        <v>15</v>
      </c>
      <c r="C282" s="486">
        <f>C161</f>
        <v>25</v>
      </c>
      <c r="D282" s="486">
        <f>E161</f>
        <v>-0.4</v>
      </c>
      <c r="E282" s="486" t="str">
        <f>F161</f>
        <v>-</v>
      </c>
      <c r="F282" s="486" t="s">
        <v>243</v>
      </c>
      <c r="G282" s="486">
        <f>G161</f>
        <v>0</v>
      </c>
      <c r="I282" s="1059"/>
      <c r="J282" s="486">
        <v>15</v>
      </c>
      <c r="K282" s="486">
        <f>J161</f>
        <v>50</v>
      </c>
      <c r="L282" s="486">
        <f>L161</f>
        <v>-0.3</v>
      </c>
      <c r="M282" s="486" t="str">
        <f>M161</f>
        <v>-</v>
      </c>
      <c r="N282" s="486" t="s">
        <v>243</v>
      </c>
      <c r="O282" s="486">
        <f>N161</f>
        <v>0</v>
      </c>
      <c r="Q282" s="1059"/>
      <c r="R282" s="486">
        <v>15</v>
      </c>
      <c r="S282" s="486">
        <f>Q161</f>
        <v>980</v>
      </c>
      <c r="T282" s="486">
        <f>S161</f>
        <v>1</v>
      </c>
      <c r="U282" s="486" t="str">
        <f>T161</f>
        <v>-</v>
      </c>
      <c r="V282" s="486" t="s">
        <v>243</v>
      </c>
      <c r="W282" s="487">
        <f>U161</f>
        <v>0</v>
      </c>
      <c r="Y282" s="484">
        <v>10</v>
      </c>
      <c r="Z282" s="485">
        <f>X104</f>
        <v>0</v>
      </c>
      <c r="AE282" s="441"/>
    </row>
    <row r="283" spans="1:31" ht="13" x14ac:dyDescent="0.3">
      <c r="A283" s="1059"/>
      <c r="B283" s="486">
        <v>16</v>
      </c>
      <c r="C283" s="486">
        <f>C172</f>
        <v>25</v>
      </c>
      <c r="D283" s="486">
        <f>D172</f>
        <v>0.2</v>
      </c>
      <c r="E283" s="486" t="str">
        <f>E172</f>
        <v>-</v>
      </c>
      <c r="F283" s="486">
        <f>F172</f>
        <v>0</v>
      </c>
      <c r="G283" s="486">
        <f>G172</f>
        <v>0</v>
      </c>
      <c r="I283" s="1059"/>
      <c r="J283" s="486">
        <v>16</v>
      </c>
      <c r="K283" s="486">
        <f>J172</f>
        <v>50</v>
      </c>
      <c r="L283" s="486">
        <f>K172</f>
        <v>-1.4</v>
      </c>
      <c r="M283" s="486" t="str">
        <f>L172</f>
        <v>-</v>
      </c>
      <c r="N283" s="486">
        <f>M172</f>
        <v>0</v>
      </c>
      <c r="O283" s="486">
        <f>N172</f>
        <v>0</v>
      </c>
      <c r="Q283" s="1059"/>
      <c r="R283" s="486">
        <v>16</v>
      </c>
      <c r="S283" s="486">
        <f>Q172</f>
        <v>900</v>
      </c>
      <c r="T283" s="486">
        <f>R172</f>
        <v>-1.7</v>
      </c>
      <c r="U283" s="486" t="str">
        <f>S172</f>
        <v>-</v>
      </c>
      <c r="V283" s="486">
        <f>T172</f>
        <v>0</v>
      </c>
      <c r="W283" s="487">
        <f>U172</f>
        <v>0</v>
      </c>
      <c r="Y283" s="484">
        <v>11</v>
      </c>
      <c r="Z283" s="485">
        <f>X115</f>
        <v>0</v>
      </c>
      <c r="AE283" s="441"/>
    </row>
    <row r="284" spans="1:31" ht="13" x14ac:dyDescent="0.3">
      <c r="A284" s="1059"/>
      <c r="B284" s="486">
        <v>17</v>
      </c>
      <c r="C284" s="486">
        <f>C183</f>
        <v>25</v>
      </c>
      <c r="D284" s="486">
        <f>D183</f>
        <v>0</v>
      </c>
      <c r="E284" s="486" t="str">
        <f>E183</f>
        <v>-</v>
      </c>
      <c r="F284" s="486">
        <f>F183</f>
        <v>0</v>
      </c>
      <c r="G284" s="486">
        <f>G183</f>
        <v>0</v>
      </c>
      <c r="I284" s="1059"/>
      <c r="J284" s="486">
        <v>17</v>
      </c>
      <c r="K284" s="486">
        <f>J183</f>
        <v>50</v>
      </c>
      <c r="L284" s="486">
        <f>K183</f>
        <v>0.2</v>
      </c>
      <c r="M284" s="486" t="str">
        <f>L183</f>
        <v>-</v>
      </c>
      <c r="N284" s="486">
        <f>M183</f>
        <v>0</v>
      </c>
      <c r="O284" s="486">
        <f>N183</f>
        <v>0</v>
      </c>
      <c r="Q284" s="1059"/>
      <c r="R284" s="486">
        <v>17</v>
      </c>
      <c r="S284" s="486">
        <f>Q183</f>
        <v>980</v>
      </c>
      <c r="T284" s="486">
        <f>R183</f>
        <v>-0.6</v>
      </c>
      <c r="U284" s="486" t="str">
        <f>S183</f>
        <v>-</v>
      </c>
      <c r="V284" s="486">
        <f>T183</f>
        <v>0</v>
      </c>
      <c r="W284" s="487">
        <f>U183</f>
        <v>0</v>
      </c>
      <c r="Y284" s="484">
        <v>12</v>
      </c>
      <c r="Z284" s="506">
        <f>X126</f>
        <v>2.4</v>
      </c>
      <c r="AE284" s="441"/>
    </row>
    <row r="285" spans="1:31" ht="13" x14ac:dyDescent="0.3">
      <c r="A285" s="1059"/>
      <c r="B285" s="486">
        <v>18</v>
      </c>
      <c r="C285" s="486">
        <f>C194</f>
        <v>25</v>
      </c>
      <c r="D285" s="486">
        <f>D194</f>
        <v>-0.2</v>
      </c>
      <c r="E285" s="486" t="str">
        <f>E194</f>
        <v>-</v>
      </c>
      <c r="F285" s="486">
        <f>F194</f>
        <v>0</v>
      </c>
      <c r="G285" s="486">
        <f>G194</f>
        <v>0</v>
      </c>
      <c r="I285" s="1059"/>
      <c r="J285" s="486">
        <v>18</v>
      </c>
      <c r="K285" s="486">
        <f>J194</f>
        <v>50</v>
      </c>
      <c r="L285" s="486">
        <f>K194</f>
        <v>-0.2</v>
      </c>
      <c r="M285" s="486" t="str">
        <f>L194</f>
        <v>-</v>
      </c>
      <c r="N285" s="486">
        <f>M194</f>
        <v>0</v>
      </c>
      <c r="O285" s="486">
        <f>N194</f>
        <v>0</v>
      </c>
      <c r="Q285" s="1059"/>
      <c r="R285" s="486">
        <v>18</v>
      </c>
      <c r="S285" s="486">
        <f>Q194</f>
        <v>900</v>
      </c>
      <c r="T285" s="486">
        <f>R194</f>
        <v>-1.1000000000000001</v>
      </c>
      <c r="U285" s="486" t="str">
        <f>S194</f>
        <v>-</v>
      </c>
      <c r="V285" s="486">
        <f>T194</f>
        <v>0</v>
      </c>
      <c r="W285" s="487">
        <f>U194</f>
        <v>0</v>
      </c>
      <c r="Y285" s="484">
        <v>13</v>
      </c>
      <c r="Z285" s="485">
        <f>X137</f>
        <v>2.4</v>
      </c>
      <c r="AE285" s="441"/>
    </row>
    <row r="286" spans="1:31" ht="13" x14ac:dyDescent="0.3">
      <c r="A286" s="1059"/>
      <c r="B286" s="486">
        <v>19</v>
      </c>
      <c r="C286" s="486">
        <f>C194</f>
        <v>25</v>
      </c>
      <c r="D286" s="486">
        <f>D194</f>
        <v>-0.2</v>
      </c>
      <c r="E286" s="486" t="str">
        <f>E194</f>
        <v>-</v>
      </c>
      <c r="F286" s="486">
        <f>F194</f>
        <v>0</v>
      </c>
      <c r="G286" s="486">
        <f>G194</f>
        <v>0</v>
      </c>
      <c r="I286" s="1059"/>
      <c r="J286" s="486">
        <v>19</v>
      </c>
      <c r="K286" s="486">
        <f>J205</f>
        <v>50</v>
      </c>
      <c r="L286" s="486">
        <f>K205</f>
        <v>-0.2</v>
      </c>
      <c r="M286" s="486" t="str">
        <f>L205</f>
        <v>-</v>
      </c>
      <c r="N286" s="486">
        <f>M205</f>
        <v>0</v>
      </c>
      <c r="O286" s="486">
        <f>N205</f>
        <v>0</v>
      </c>
      <c r="Q286" s="1059"/>
      <c r="R286" s="486">
        <v>19</v>
      </c>
      <c r="S286" s="486">
        <f>Q205</f>
        <v>850</v>
      </c>
      <c r="T286" s="486">
        <f>R205</f>
        <v>2.4</v>
      </c>
      <c r="U286" s="486" t="str">
        <f>S205</f>
        <v>-</v>
      </c>
      <c r="V286" s="486">
        <f>T205</f>
        <v>0</v>
      </c>
      <c r="W286" s="487">
        <f>U205</f>
        <v>0</v>
      </c>
      <c r="Y286" s="484">
        <v>14</v>
      </c>
      <c r="Z286" s="485">
        <f>X148</f>
        <v>2.4</v>
      </c>
      <c r="AE286" s="441"/>
    </row>
    <row r="287" spans="1:31" ht="13.5" thickBot="1" x14ac:dyDescent="0.35">
      <c r="A287" s="1059"/>
      <c r="B287" s="486">
        <v>20</v>
      </c>
      <c r="C287" s="486">
        <f>C216</f>
        <v>24.6</v>
      </c>
      <c r="D287" s="486">
        <f>D216</f>
        <v>9.9999999999999995E-7</v>
      </c>
      <c r="E287" s="486" t="str">
        <f>E216</f>
        <v>-</v>
      </c>
      <c r="F287" s="486">
        <f>F216</f>
        <v>9.9999999999999995E-7</v>
      </c>
      <c r="G287" s="486">
        <f>G216</f>
        <v>0</v>
      </c>
      <c r="I287" s="1059"/>
      <c r="J287" s="486">
        <v>20</v>
      </c>
      <c r="K287" s="486">
        <f>J216</f>
        <v>62.5</v>
      </c>
      <c r="L287" s="486">
        <f>K216</f>
        <v>9.9999999999999995E-7</v>
      </c>
      <c r="M287" s="486" t="str">
        <f>L216</f>
        <v>-</v>
      </c>
      <c r="N287" s="486">
        <f>M216</f>
        <v>0</v>
      </c>
      <c r="O287" s="486">
        <f>N216</f>
        <v>0</v>
      </c>
      <c r="Q287" s="1061"/>
      <c r="R287" s="495">
        <v>20</v>
      </c>
      <c r="S287" s="495">
        <f>Q216</f>
        <v>850</v>
      </c>
      <c r="T287" s="495" t="str">
        <f>R216</f>
        <v>-</v>
      </c>
      <c r="U287" s="495" t="str">
        <f>S216</f>
        <v>-</v>
      </c>
      <c r="V287" s="495">
        <f>T216</f>
        <v>0</v>
      </c>
      <c r="W287" s="507">
        <f>U216</f>
        <v>0</v>
      </c>
      <c r="Y287" s="484">
        <v>15</v>
      </c>
      <c r="Z287" s="485">
        <f>X159</f>
        <v>2.6</v>
      </c>
      <c r="AE287" s="498"/>
    </row>
    <row r="288" spans="1:31" ht="13.5" thickBot="1" x14ac:dyDescent="0.35">
      <c r="A288" s="73"/>
      <c r="B288" s="73"/>
      <c r="C288" s="73"/>
      <c r="D288" s="73"/>
      <c r="E288" s="73"/>
      <c r="F288" s="480"/>
      <c r="G288" s="73"/>
      <c r="I288" s="73"/>
      <c r="J288" s="73"/>
      <c r="K288" s="73"/>
      <c r="L288" s="73"/>
      <c r="M288" s="73"/>
      <c r="N288" s="480"/>
      <c r="O288" s="73"/>
      <c r="Q288" s="508"/>
      <c r="R288" s="510"/>
      <c r="S288" s="312"/>
      <c r="T288" s="312"/>
      <c r="U288" s="312"/>
      <c r="W288" s="313"/>
      <c r="Y288" s="484">
        <v>16</v>
      </c>
      <c r="Z288" s="492">
        <f>X170</f>
        <v>2.2999999999999998</v>
      </c>
      <c r="AE288" s="441"/>
    </row>
    <row r="289" spans="1:31" ht="13" x14ac:dyDescent="0.3">
      <c r="A289" s="1059">
        <v>4</v>
      </c>
      <c r="B289" s="486">
        <v>1</v>
      </c>
      <c r="C289" s="486">
        <f>C8</f>
        <v>30</v>
      </c>
      <c r="D289" s="486">
        <f>D8</f>
        <v>9.9999999999999995E-7</v>
      </c>
      <c r="E289" s="486">
        <f>E8</f>
        <v>-0.2</v>
      </c>
      <c r="F289" s="486">
        <f>F8</f>
        <v>0</v>
      </c>
      <c r="G289" s="486">
        <f>G8</f>
        <v>0.10000050000000001</v>
      </c>
      <c r="I289" s="1059">
        <v>4</v>
      </c>
      <c r="J289" s="486">
        <v>1</v>
      </c>
      <c r="K289" s="486">
        <f>J8</f>
        <v>60</v>
      </c>
      <c r="L289" s="486">
        <f>K8</f>
        <v>-5.3</v>
      </c>
      <c r="M289" s="486">
        <f>L8</f>
        <v>-5.2</v>
      </c>
      <c r="N289" s="486">
        <f>M8</f>
        <v>0</v>
      </c>
      <c r="O289" s="486">
        <f>N8</f>
        <v>4.9999999999999822E-2</v>
      </c>
      <c r="Q289" s="1060">
        <v>4</v>
      </c>
      <c r="R289" s="502">
        <v>1</v>
      </c>
      <c r="S289" s="502">
        <f>Q8</f>
        <v>900</v>
      </c>
      <c r="T289" s="502" t="str">
        <f>R8</f>
        <v>-</v>
      </c>
      <c r="U289" s="502" t="str">
        <f>S8</f>
        <v>-</v>
      </c>
      <c r="V289" s="502">
        <f>T8</f>
        <v>0</v>
      </c>
      <c r="W289" s="509">
        <f>U8</f>
        <v>0</v>
      </c>
      <c r="Y289" s="484">
        <v>17</v>
      </c>
      <c r="Z289" s="492">
        <f>X181</f>
        <v>2.1</v>
      </c>
      <c r="AE289" s="505"/>
    </row>
    <row r="290" spans="1:31" ht="13" x14ac:dyDescent="0.3">
      <c r="A290" s="1059"/>
      <c r="B290" s="486">
        <v>2</v>
      </c>
      <c r="C290" s="486">
        <f>C19</f>
        <v>30</v>
      </c>
      <c r="D290" s="486">
        <f>D19</f>
        <v>0.2</v>
      </c>
      <c r="E290" s="486">
        <f>E19</f>
        <v>-0.3</v>
      </c>
      <c r="F290" s="486">
        <f>F19</f>
        <v>0</v>
      </c>
      <c r="G290" s="486">
        <f>G19</f>
        <v>0.25</v>
      </c>
      <c r="I290" s="1059"/>
      <c r="J290" s="486">
        <v>2</v>
      </c>
      <c r="K290" s="486">
        <f>J19</f>
        <v>60</v>
      </c>
      <c r="L290" s="486">
        <f>K19</f>
        <v>-4</v>
      </c>
      <c r="M290" s="486">
        <f>L19</f>
        <v>-1.3</v>
      </c>
      <c r="N290" s="486">
        <f>M19</f>
        <v>0</v>
      </c>
      <c r="O290" s="486">
        <f>N19</f>
        <v>1.35</v>
      </c>
      <c r="Q290" s="1059"/>
      <c r="R290" s="486">
        <v>2</v>
      </c>
      <c r="S290" s="486">
        <f>Q19</f>
        <v>900</v>
      </c>
      <c r="T290" s="486" t="str">
        <f>R19</f>
        <v>-</v>
      </c>
      <c r="U290" s="486" t="str">
        <f>S19</f>
        <v>-</v>
      </c>
      <c r="V290" s="486">
        <f>T19</f>
        <v>0</v>
      </c>
      <c r="W290" s="487">
        <f>U19</f>
        <v>0</v>
      </c>
      <c r="Y290" s="484">
        <v>18</v>
      </c>
      <c r="Z290" s="492">
        <f>X192</f>
        <v>2.4</v>
      </c>
      <c r="AE290" s="441"/>
    </row>
    <row r="291" spans="1:31" ht="13" x14ac:dyDescent="0.3">
      <c r="A291" s="1059"/>
      <c r="B291" s="486">
        <v>3</v>
      </c>
      <c r="C291" s="486">
        <f>C30</f>
        <v>30</v>
      </c>
      <c r="D291" s="486">
        <f>D30</f>
        <v>9.9999999999999995E-7</v>
      </c>
      <c r="E291" s="486">
        <f>E30</f>
        <v>-0.3</v>
      </c>
      <c r="F291" s="486">
        <f>F30</f>
        <v>0</v>
      </c>
      <c r="G291" s="486">
        <f>G30</f>
        <v>0.15000049999999998</v>
      </c>
      <c r="I291" s="1059"/>
      <c r="J291" s="486">
        <v>3</v>
      </c>
      <c r="K291" s="486">
        <f>J30</f>
        <v>60</v>
      </c>
      <c r="L291" s="486">
        <f>K30</f>
        <v>-3.2</v>
      </c>
      <c r="M291" s="486">
        <f>L30</f>
        <v>-4.3</v>
      </c>
      <c r="N291" s="486">
        <f>M30</f>
        <v>0</v>
      </c>
      <c r="O291" s="486">
        <f>N30</f>
        <v>0.54999999999999982</v>
      </c>
      <c r="Q291" s="1059"/>
      <c r="R291" s="486">
        <v>3</v>
      </c>
      <c r="S291" s="486">
        <f>Q30</f>
        <v>900</v>
      </c>
      <c r="T291" s="486" t="str">
        <f>R30</f>
        <v>-</v>
      </c>
      <c r="U291" s="486" t="str">
        <f>S30</f>
        <v>-</v>
      </c>
      <c r="V291" s="486">
        <f>T30</f>
        <v>0</v>
      </c>
      <c r="W291" s="487">
        <f>U30</f>
        <v>0</v>
      </c>
      <c r="Y291" s="484">
        <v>19</v>
      </c>
      <c r="Z291" s="492">
        <f>X203</f>
        <v>0.4</v>
      </c>
      <c r="AE291" s="441"/>
    </row>
    <row r="292" spans="1:31" ht="13.5" thickBot="1" x14ac:dyDescent="0.35">
      <c r="A292" s="1059"/>
      <c r="B292" s="486">
        <v>4</v>
      </c>
      <c r="C292" s="486">
        <f>C41</f>
        <v>30</v>
      </c>
      <c r="D292" s="486">
        <f>D41</f>
        <v>-0.1</v>
      </c>
      <c r="E292" s="486">
        <f>E41</f>
        <v>-0.6</v>
      </c>
      <c r="F292" s="486">
        <f>F41</f>
        <v>0</v>
      </c>
      <c r="G292" s="486">
        <f>G41</f>
        <v>0.25</v>
      </c>
      <c r="I292" s="1059"/>
      <c r="J292" s="486">
        <v>4</v>
      </c>
      <c r="K292" s="486">
        <f>J41</f>
        <v>60</v>
      </c>
      <c r="L292" s="486">
        <f>K41</f>
        <v>-4.2</v>
      </c>
      <c r="M292" s="486">
        <f>L41</f>
        <v>-0.3</v>
      </c>
      <c r="N292" s="486">
        <f>M41</f>
        <v>0</v>
      </c>
      <c r="O292" s="486">
        <f>N41</f>
        <v>1.9500000000000002</v>
      </c>
      <c r="Q292" s="1059"/>
      <c r="R292" s="486">
        <v>4</v>
      </c>
      <c r="S292" s="486">
        <f>Q41</f>
        <v>900</v>
      </c>
      <c r="T292" s="486" t="str">
        <f>R41</f>
        <v>-</v>
      </c>
      <c r="U292" s="486" t="str">
        <f>S41</f>
        <v>-</v>
      </c>
      <c r="V292" s="486">
        <f>T41</f>
        <v>0</v>
      </c>
      <c r="W292" s="487">
        <f>U41</f>
        <v>0</v>
      </c>
      <c r="Y292" s="493">
        <v>20</v>
      </c>
      <c r="Z292" s="494">
        <f>X214</f>
        <v>0</v>
      </c>
      <c r="AE292" s="441"/>
    </row>
    <row r="293" spans="1:31" ht="13" x14ac:dyDescent="0.3">
      <c r="A293" s="1059"/>
      <c r="B293" s="486">
        <v>5</v>
      </c>
      <c r="C293" s="486">
        <f>C52</f>
        <v>30</v>
      </c>
      <c r="D293" s="486">
        <f>D52</f>
        <v>0.6</v>
      </c>
      <c r="E293" s="486">
        <f>E52</f>
        <v>0.1</v>
      </c>
      <c r="F293" s="486">
        <f>F52</f>
        <v>0</v>
      </c>
      <c r="G293" s="486">
        <f>G52</f>
        <v>0.25</v>
      </c>
      <c r="I293" s="1059"/>
      <c r="J293" s="486">
        <v>5</v>
      </c>
      <c r="K293" s="486">
        <f>J52</f>
        <v>60</v>
      </c>
      <c r="L293" s="486">
        <f>K52</f>
        <v>-5.2</v>
      </c>
      <c r="M293" s="486">
        <f>L52</f>
        <v>-4.2</v>
      </c>
      <c r="N293" s="486">
        <f>M52</f>
        <v>0</v>
      </c>
      <c r="O293" s="486">
        <f>N52</f>
        <v>0.5</v>
      </c>
      <c r="Q293" s="1059"/>
      <c r="R293" s="486">
        <v>5</v>
      </c>
      <c r="S293" s="486">
        <f>Q52</f>
        <v>900</v>
      </c>
      <c r="T293" s="486" t="str">
        <f>R52</f>
        <v>-</v>
      </c>
      <c r="U293" s="486" t="str">
        <f>S52</f>
        <v>-</v>
      </c>
      <c r="V293" s="486">
        <f>T52</f>
        <v>0</v>
      </c>
      <c r="W293" s="487">
        <f>U52</f>
        <v>0</v>
      </c>
      <c r="AE293" s="441"/>
    </row>
    <row r="294" spans="1:31" ht="13" x14ac:dyDescent="0.3">
      <c r="A294" s="1059"/>
      <c r="B294" s="486">
        <v>6</v>
      </c>
      <c r="C294" s="486">
        <f>C63</f>
        <v>30</v>
      </c>
      <c r="D294" s="486">
        <f>D63</f>
        <v>0.1</v>
      </c>
      <c r="E294" s="486">
        <f>E63</f>
        <v>-0.5</v>
      </c>
      <c r="F294" s="486">
        <f>F63</f>
        <v>0</v>
      </c>
      <c r="G294" s="486">
        <f>G63</f>
        <v>0.3</v>
      </c>
      <c r="I294" s="1059"/>
      <c r="J294" s="486">
        <v>6</v>
      </c>
      <c r="K294" s="486">
        <f>J63</f>
        <v>60</v>
      </c>
      <c r="L294" s="486">
        <f>K63</f>
        <v>-6.4</v>
      </c>
      <c r="M294" s="486">
        <f>L63</f>
        <v>1.1000000000000001</v>
      </c>
      <c r="N294" s="486">
        <f>M63</f>
        <v>0</v>
      </c>
      <c r="O294" s="486">
        <f>N63</f>
        <v>3.75</v>
      </c>
      <c r="Q294" s="1059"/>
      <c r="R294" s="486">
        <v>6</v>
      </c>
      <c r="S294" s="486">
        <f>Q63</f>
        <v>900</v>
      </c>
      <c r="T294" s="486">
        <f>R63</f>
        <v>0.9</v>
      </c>
      <c r="U294" s="486">
        <f>S63</f>
        <v>0.7</v>
      </c>
      <c r="V294" s="486">
        <f>T63</f>
        <v>0</v>
      </c>
      <c r="W294" s="487">
        <f>U63</f>
        <v>0.10000000000000003</v>
      </c>
      <c r="AE294" s="441"/>
    </row>
    <row r="295" spans="1:31" ht="13" x14ac:dyDescent="0.3">
      <c r="A295" s="1059"/>
      <c r="B295" s="486">
        <v>7</v>
      </c>
      <c r="C295" s="486">
        <f>C74</f>
        <v>30</v>
      </c>
      <c r="D295" s="486">
        <f>D74</f>
        <v>9.9999999999999995E-7</v>
      </c>
      <c r="E295" s="486">
        <f>E74</f>
        <v>-0.6</v>
      </c>
      <c r="F295" s="486">
        <f>F74</f>
        <v>0</v>
      </c>
      <c r="G295" s="486">
        <f>G74</f>
        <v>0.3000005</v>
      </c>
      <c r="I295" s="1059"/>
      <c r="J295" s="486">
        <v>7</v>
      </c>
      <c r="K295" s="486">
        <f>J74</f>
        <v>60</v>
      </c>
      <c r="L295" s="486">
        <f>K74</f>
        <v>-2.1</v>
      </c>
      <c r="M295" s="486">
        <f>L74</f>
        <v>0.7</v>
      </c>
      <c r="N295" s="486">
        <f>M74</f>
        <v>0</v>
      </c>
      <c r="O295" s="486">
        <f>N74</f>
        <v>1.4</v>
      </c>
      <c r="Q295" s="1059"/>
      <c r="R295" s="486">
        <v>7</v>
      </c>
      <c r="S295" s="486">
        <f>Q74</f>
        <v>900</v>
      </c>
      <c r="T295" s="486">
        <f>R74</f>
        <v>9.9999999999999995E-7</v>
      </c>
      <c r="U295" s="486">
        <f>S74</f>
        <v>1</v>
      </c>
      <c r="V295" s="486">
        <f>T74</f>
        <v>0</v>
      </c>
      <c r="W295" s="487">
        <f>U74</f>
        <v>0.49999949999999999</v>
      </c>
      <c r="AE295" s="441"/>
    </row>
    <row r="296" spans="1:31" ht="13" x14ac:dyDescent="0.3">
      <c r="A296" s="1059"/>
      <c r="B296" s="486">
        <v>8</v>
      </c>
      <c r="C296" s="486">
        <f>C85</f>
        <v>30</v>
      </c>
      <c r="D296" s="486">
        <f>D85</f>
        <v>-0.2</v>
      </c>
      <c r="E296" s="486">
        <f>E85</f>
        <v>-0.4</v>
      </c>
      <c r="F296" s="486">
        <f>F85</f>
        <v>0</v>
      </c>
      <c r="G296" s="486">
        <f>G85</f>
        <v>0.1</v>
      </c>
      <c r="I296" s="1059"/>
      <c r="J296" s="486">
        <v>8</v>
      </c>
      <c r="K296" s="486">
        <f>J85</f>
        <v>60</v>
      </c>
      <c r="L296" s="486">
        <f>K85</f>
        <v>-3.9</v>
      </c>
      <c r="M296" s="486">
        <f>L85</f>
        <v>-1.1000000000000001</v>
      </c>
      <c r="N296" s="486">
        <f>M85</f>
        <v>0</v>
      </c>
      <c r="O296" s="486">
        <f>N85</f>
        <v>1.4</v>
      </c>
      <c r="Q296" s="1059"/>
      <c r="R296" s="486">
        <v>8</v>
      </c>
      <c r="S296" s="486">
        <f>Q85</f>
        <v>900</v>
      </c>
      <c r="T296" s="486">
        <f>R85</f>
        <v>-4.4000000000000004</v>
      </c>
      <c r="U296" s="486">
        <f>S85</f>
        <v>9.9999999999999995E-7</v>
      </c>
      <c r="V296" s="486">
        <f>T85</f>
        <v>0</v>
      </c>
      <c r="W296" s="487">
        <f>U85</f>
        <v>2.2000005000000002</v>
      </c>
      <c r="AE296" s="441"/>
    </row>
    <row r="297" spans="1:31" ht="13" x14ac:dyDescent="0.3">
      <c r="A297" s="1059"/>
      <c r="B297" s="486">
        <v>9</v>
      </c>
      <c r="C297" s="486">
        <f>C96</f>
        <v>30</v>
      </c>
      <c r="D297" s="486">
        <f>D96</f>
        <v>-0.5</v>
      </c>
      <c r="E297" s="486" t="str">
        <f>E96</f>
        <v>-</v>
      </c>
      <c r="F297" s="486">
        <f>F96</f>
        <v>0</v>
      </c>
      <c r="G297" s="486">
        <f>G96</f>
        <v>0</v>
      </c>
      <c r="I297" s="1059"/>
      <c r="J297" s="486">
        <v>9</v>
      </c>
      <c r="K297" s="486">
        <f>J96</f>
        <v>60</v>
      </c>
      <c r="L297" s="486">
        <f>K96</f>
        <v>-0.8</v>
      </c>
      <c r="M297" s="486" t="str">
        <f>L96</f>
        <v>-</v>
      </c>
      <c r="N297" s="486">
        <f>M96</f>
        <v>0</v>
      </c>
      <c r="O297" s="486">
        <f>N96</f>
        <v>0</v>
      </c>
      <c r="Q297" s="1059"/>
      <c r="R297" s="486">
        <v>9</v>
      </c>
      <c r="S297" s="486">
        <f>Q96</f>
        <v>900</v>
      </c>
      <c r="T297" s="486">
        <f>R96</f>
        <v>9.9999999999999995E-7</v>
      </c>
      <c r="U297" s="486" t="str">
        <f>S96</f>
        <v>-</v>
      </c>
      <c r="V297" s="486">
        <f>T96</f>
        <v>0</v>
      </c>
      <c r="W297" s="487">
        <f>U96</f>
        <v>0</v>
      </c>
      <c r="AE297" s="441"/>
    </row>
    <row r="298" spans="1:31" ht="13" x14ac:dyDescent="0.3">
      <c r="A298" s="1059"/>
      <c r="B298" s="486">
        <v>10</v>
      </c>
      <c r="C298" s="486">
        <f>C107</f>
        <v>30</v>
      </c>
      <c r="D298" s="486">
        <f>D107</f>
        <v>0.1</v>
      </c>
      <c r="E298" s="486">
        <f>E107</f>
        <v>0.2</v>
      </c>
      <c r="F298" s="486">
        <f>F107</f>
        <v>0</v>
      </c>
      <c r="G298" s="486">
        <f>G107</f>
        <v>0.05</v>
      </c>
      <c r="I298" s="1059"/>
      <c r="J298" s="486">
        <v>10</v>
      </c>
      <c r="K298" s="486">
        <f>J107</f>
        <v>60</v>
      </c>
      <c r="L298" s="486">
        <f>K107</f>
        <v>-2.1</v>
      </c>
      <c r="M298" s="486">
        <f>L107</f>
        <v>-5.6</v>
      </c>
      <c r="N298" s="486">
        <f>M107</f>
        <v>0</v>
      </c>
      <c r="O298" s="486">
        <f>N107</f>
        <v>1.7499999999999998</v>
      </c>
      <c r="Q298" s="1059"/>
      <c r="R298" s="486">
        <v>10</v>
      </c>
      <c r="S298" s="486">
        <f>Q107</f>
        <v>900</v>
      </c>
      <c r="T298" s="486" t="str">
        <f>R107</f>
        <v>-</v>
      </c>
      <c r="U298" s="486" t="str">
        <f>S107</f>
        <v>-</v>
      </c>
      <c r="V298" s="486">
        <f>T107</f>
        <v>0</v>
      </c>
      <c r="W298" s="487">
        <f>U107</f>
        <v>0</v>
      </c>
      <c r="AE298" s="441"/>
    </row>
    <row r="299" spans="1:31" ht="13" x14ac:dyDescent="0.3">
      <c r="A299" s="1059"/>
      <c r="B299" s="486">
        <v>11</v>
      </c>
      <c r="C299" s="486">
        <f>C118</f>
        <v>30</v>
      </c>
      <c r="D299" s="486">
        <f>D118</f>
        <v>0.5</v>
      </c>
      <c r="E299" s="486">
        <f>E118</f>
        <v>0.4</v>
      </c>
      <c r="F299" s="486">
        <f>F118</f>
        <v>0</v>
      </c>
      <c r="G299" s="486">
        <f>G118</f>
        <v>4.9999999999999989E-2</v>
      </c>
      <c r="I299" s="1059"/>
      <c r="J299" s="486">
        <v>11</v>
      </c>
      <c r="K299" s="486">
        <f>J118</f>
        <v>60</v>
      </c>
      <c r="L299" s="486">
        <f>K118</f>
        <v>-4.8</v>
      </c>
      <c r="M299" s="486">
        <f>L118</f>
        <v>-4.5</v>
      </c>
      <c r="N299" s="486">
        <f>M118</f>
        <v>0</v>
      </c>
      <c r="O299" s="486">
        <f>N118</f>
        <v>0.14999999999999991</v>
      </c>
      <c r="Q299" s="1059"/>
      <c r="R299" s="486">
        <v>11</v>
      </c>
      <c r="S299" s="486">
        <f>Q118</f>
        <v>900</v>
      </c>
      <c r="T299" s="486" t="str">
        <f>R118</f>
        <v>-</v>
      </c>
      <c r="U299" s="486" t="str">
        <f>S118</f>
        <v>-</v>
      </c>
      <c r="V299" s="486">
        <f>T118</f>
        <v>0</v>
      </c>
      <c r="W299" s="487">
        <f>U118</f>
        <v>0</v>
      </c>
      <c r="AE299" s="441"/>
    </row>
    <row r="300" spans="1:31" ht="13" x14ac:dyDescent="0.3">
      <c r="A300" s="1059"/>
      <c r="B300" s="486">
        <v>12</v>
      </c>
      <c r="C300" s="486">
        <f>C129</f>
        <v>30</v>
      </c>
      <c r="D300" s="486">
        <f>D129</f>
        <v>-0.1</v>
      </c>
      <c r="E300" s="486" t="str">
        <f>E129</f>
        <v>-</v>
      </c>
      <c r="F300" s="486">
        <f>F129</f>
        <v>0</v>
      </c>
      <c r="G300" s="486">
        <f>G129</f>
        <v>0</v>
      </c>
      <c r="I300" s="1059"/>
      <c r="J300" s="486">
        <v>12</v>
      </c>
      <c r="K300" s="486">
        <f>J129</f>
        <v>60</v>
      </c>
      <c r="L300" s="486">
        <f>K129</f>
        <v>9.9999999999999995E-7</v>
      </c>
      <c r="M300" s="486" t="str">
        <f>L129</f>
        <v>-</v>
      </c>
      <c r="N300" s="486">
        <f>M129</f>
        <v>0</v>
      </c>
      <c r="O300" s="486">
        <f>N129</f>
        <v>0</v>
      </c>
      <c r="Q300" s="1059"/>
      <c r="R300" s="486">
        <v>12</v>
      </c>
      <c r="S300" s="486">
        <f>Q129</f>
        <v>950</v>
      </c>
      <c r="T300" s="486">
        <f>R129</f>
        <v>-0.7</v>
      </c>
      <c r="U300" s="486" t="str">
        <f>S129</f>
        <v>-</v>
      </c>
      <c r="V300" s="486">
        <f>T129</f>
        <v>0</v>
      </c>
      <c r="W300" s="487">
        <f>U129</f>
        <v>0</v>
      </c>
      <c r="AE300" s="441"/>
    </row>
    <row r="301" spans="1:31" ht="13" x14ac:dyDescent="0.3">
      <c r="A301" s="1059"/>
      <c r="B301" s="486">
        <v>13</v>
      </c>
      <c r="C301" s="486">
        <f>C151</f>
        <v>30</v>
      </c>
      <c r="D301" s="486">
        <f>E151</f>
        <v>-0.3</v>
      </c>
      <c r="E301" s="486" t="str">
        <f>F151</f>
        <v>-</v>
      </c>
      <c r="F301" s="486" t="s">
        <v>243</v>
      </c>
      <c r="G301" s="486">
        <f>G151</f>
        <v>0</v>
      </c>
      <c r="I301" s="1059"/>
      <c r="J301" s="486">
        <v>13</v>
      </c>
      <c r="K301" s="486">
        <f>J140</f>
        <v>60</v>
      </c>
      <c r="L301" s="486">
        <f>L140</f>
        <v>-1.5</v>
      </c>
      <c r="M301" s="486" t="str">
        <f>M140</f>
        <v>-</v>
      </c>
      <c r="N301" s="486" t="s">
        <v>243</v>
      </c>
      <c r="O301" s="486">
        <f>N140</f>
        <v>0</v>
      </c>
      <c r="Q301" s="1059"/>
      <c r="R301" s="486">
        <v>13</v>
      </c>
      <c r="S301" s="486">
        <f>Q140</f>
        <v>990</v>
      </c>
      <c r="T301" s="486">
        <f>S140</f>
        <v>1.1000000000000001</v>
      </c>
      <c r="U301" s="486" t="str">
        <f>T140</f>
        <v>-</v>
      </c>
      <c r="V301" s="486" t="s">
        <v>243</v>
      </c>
      <c r="W301" s="487">
        <f>U140</f>
        <v>0</v>
      </c>
      <c r="AE301" s="441"/>
    </row>
    <row r="302" spans="1:31" ht="13" x14ac:dyDescent="0.3">
      <c r="A302" s="1059"/>
      <c r="B302" s="486">
        <v>14</v>
      </c>
      <c r="C302" s="486">
        <f>C151</f>
        <v>30</v>
      </c>
      <c r="D302" s="486">
        <f>E151</f>
        <v>-0.3</v>
      </c>
      <c r="E302" s="486" t="str">
        <f>F151</f>
        <v>-</v>
      </c>
      <c r="F302" s="486" t="s">
        <v>243</v>
      </c>
      <c r="G302" s="486">
        <f>G151</f>
        <v>0</v>
      </c>
      <c r="I302" s="1059"/>
      <c r="J302" s="486">
        <v>14</v>
      </c>
      <c r="K302" s="486">
        <f>J151</f>
        <v>60</v>
      </c>
      <c r="L302" s="486">
        <f>L151</f>
        <v>-0.6</v>
      </c>
      <c r="M302" s="486" t="str">
        <f>M151</f>
        <v>-</v>
      </c>
      <c r="N302" s="486" t="s">
        <v>243</v>
      </c>
      <c r="O302" s="486">
        <f>N151</f>
        <v>0</v>
      </c>
      <c r="Q302" s="1059"/>
      <c r="R302" s="486">
        <v>14</v>
      </c>
      <c r="S302" s="486">
        <f>Q151</f>
        <v>990</v>
      </c>
      <c r="T302" s="486">
        <f>S151</f>
        <v>1.1000000000000001</v>
      </c>
      <c r="U302" s="486" t="str">
        <f>T151</f>
        <v>-</v>
      </c>
      <c r="V302" s="486" t="s">
        <v>243</v>
      </c>
      <c r="W302" s="487">
        <f>U151</f>
        <v>0</v>
      </c>
      <c r="AE302" s="441"/>
    </row>
    <row r="303" spans="1:31" ht="13" x14ac:dyDescent="0.3">
      <c r="A303" s="1059"/>
      <c r="B303" s="486">
        <v>15</v>
      </c>
      <c r="C303" s="486">
        <f>C162</f>
        <v>30</v>
      </c>
      <c r="D303" s="486">
        <f>E162</f>
        <v>-0.2</v>
      </c>
      <c r="E303" s="486" t="str">
        <f>F162</f>
        <v>-</v>
      </c>
      <c r="F303" s="486" t="s">
        <v>243</v>
      </c>
      <c r="G303" s="486">
        <f>G162</f>
        <v>0</v>
      </c>
      <c r="I303" s="1059"/>
      <c r="J303" s="486">
        <v>15</v>
      </c>
      <c r="K303" s="486">
        <f>J162</f>
        <v>60</v>
      </c>
      <c r="L303" s="486">
        <f>L162</f>
        <v>-0.5</v>
      </c>
      <c r="M303" s="486" t="str">
        <f>M162</f>
        <v>-</v>
      </c>
      <c r="N303" s="486" t="s">
        <v>243</v>
      </c>
      <c r="O303" s="486">
        <f>N162</f>
        <v>0</v>
      </c>
      <c r="Q303" s="1059"/>
      <c r="R303" s="486">
        <v>15</v>
      </c>
      <c r="S303" s="486">
        <f>Q162</f>
        <v>990</v>
      </c>
      <c r="T303" s="486">
        <f>S162</f>
        <v>1.1000000000000001</v>
      </c>
      <c r="U303" s="486" t="str">
        <f>T162</f>
        <v>-</v>
      </c>
      <c r="V303" s="486" t="s">
        <v>243</v>
      </c>
      <c r="W303" s="487">
        <f>U162</f>
        <v>0</v>
      </c>
      <c r="AE303" s="441"/>
    </row>
    <row r="304" spans="1:31" ht="13" x14ac:dyDescent="0.3">
      <c r="A304" s="1059"/>
      <c r="B304" s="486">
        <v>16</v>
      </c>
      <c r="C304" s="486">
        <f>C173</f>
        <v>30</v>
      </c>
      <c r="D304" s="486">
        <f>D173</f>
        <v>0.2</v>
      </c>
      <c r="E304" s="486" t="str">
        <f>E173</f>
        <v>-</v>
      </c>
      <c r="F304" s="486">
        <f>F173</f>
        <v>0</v>
      </c>
      <c r="G304" s="486">
        <f>G173</f>
        <v>0</v>
      </c>
      <c r="I304" s="1059"/>
      <c r="J304" s="486">
        <v>16</v>
      </c>
      <c r="K304" s="486">
        <f>J173</f>
        <v>60</v>
      </c>
      <c r="L304" s="486">
        <f>K173</f>
        <v>-1.5</v>
      </c>
      <c r="M304" s="486" t="str">
        <f>L173</f>
        <v>-</v>
      </c>
      <c r="N304" s="486">
        <f>M173</f>
        <v>0</v>
      </c>
      <c r="O304" s="486">
        <f>N173</f>
        <v>0</v>
      </c>
      <c r="Q304" s="1059"/>
      <c r="R304" s="486">
        <v>16</v>
      </c>
      <c r="S304" s="486">
        <f>Q173</f>
        <v>950</v>
      </c>
      <c r="T304" s="486">
        <f>R173</f>
        <v>-1.1000000000000001</v>
      </c>
      <c r="U304" s="486" t="str">
        <f>S173</f>
        <v>-</v>
      </c>
      <c r="V304" s="486">
        <f>T173</f>
        <v>0</v>
      </c>
      <c r="W304" s="487">
        <f>U173</f>
        <v>0</v>
      </c>
      <c r="AE304" s="441"/>
    </row>
    <row r="305" spans="1:31" ht="13" x14ac:dyDescent="0.3">
      <c r="A305" s="1059"/>
      <c r="B305" s="486">
        <v>17</v>
      </c>
      <c r="C305" s="486">
        <f>C184</f>
        <v>30</v>
      </c>
      <c r="D305" s="486">
        <f>D184</f>
        <v>-0.2</v>
      </c>
      <c r="E305" s="486" t="str">
        <f>E184</f>
        <v>-</v>
      </c>
      <c r="F305" s="486">
        <f>F184</f>
        <v>0</v>
      </c>
      <c r="G305" s="486">
        <f>G184</f>
        <v>0</v>
      </c>
      <c r="I305" s="1059"/>
      <c r="J305" s="486">
        <v>17</v>
      </c>
      <c r="K305" s="486">
        <f>J184</f>
        <v>60</v>
      </c>
      <c r="L305" s="486">
        <f>K184</f>
        <v>0</v>
      </c>
      <c r="M305" s="486" t="str">
        <f>L184</f>
        <v>-</v>
      </c>
      <c r="N305" s="486">
        <f>M184</f>
        <v>0</v>
      </c>
      <c r="O305" s="486">
        <f>N184</f>
        <v>0</v>
      </c>
      <c r="Q305" s="1059"/>
      <c r="R305" s="486">
        <v>17</v>
      </c>
      <c r="S305" s="486">
        <f>Q184</f>
        <v>990</v>
      </c>
      <c r="T305" s="486">
        <f>R184</f>
        <v>-0.6</v>
      </c>
      <c r="U305" s="486" t="str">
        <f>S184</f>
        <v>-</v>
      </c>
      <c r="V305" s="486">
        <f>T184</f>
        <v>0</v>
      </c>
      <c r="W305" s="487">
        <f>U184</f>
        <v>0</v>
      </c>
      <c r="AE305" s="441"/>
    </row>
    <row r="306" spans="1:31" ht="13" x14ac:dyDescent="0.3">
      <c r="A306" s="1059"/>
      <c r="B306" s="486">
        <v>18</v>
      </c>
      <c r="C306" s="486">
        <f>C195</f>
        <v>30</v>
      </c>
      <c r="D306" s="486">
        <f>D195</f>
        <v>-0.2</v>
      </c>
      <c r="E306" s="486" t="str">
        <f>E195</f>
        <v>-</v>
      </c>
      <c r="F306" s="486">
        <f>F195</f>
        <v>0</v>
      </c>
      <c r="G306" s="486">
        <f>G195</f>
        <v>0</v>
      </c>
      <c r="I306" s="1059"/>
      <c r="J306" s="486">
        <v>18</v>
      </c>
      <c r="K306" s="486">
        <f>J195</f>
        <v>60</v>
      </c>
      <c r="L306" s="486">
        <f>K195</f>
        <v>-0.2</v>
      </c>
      <c r="M306" s="486" t="str">
        <f>L195</f>
        <v>-</v>
      </c>
      <c r="N306" s="486">
        <f>M195</f>
        <v>0</v>
      </c>
      <c r="O306" s="486">
        <f>N195</f>
        <v>0</v>
      </c>
      <c r="Q306" s="1059"/>
      <c r="R306" s="486">
        <v>18</v>
      </c>
      <c r="S306" s="486">
        <f>Q195</f>
        <v>950</v>
      </c>
      <c r="T306" s="486">
        <f>R195</f>
        <v>-0.9</v>
      </c>
      <c r="U306" s="486" t="str">
        <f>S195</f>
        <v>-</v>
      </c>
      <c r="V306" s="486">
        <f>T195</f>
        <v>0</v>
      </c>
      <c r="W306" s="487">
        <f>U195</f>
        <v>0</v>
      </c>
      <c r="AE306" s="441"/>
    </row>
    <row r="307" spans="1:31" ht="13" x14ac:dyDescent="0.3">
      <c r="A307" s="1059"/>
      <c r="B307" s="486">
        <v>19</v>
      </c>
      <c r="C307" s="486">
        <f>C206</f>
        <v>30</v>
      </c>
      <c r="D307" s="486">
        <f>D206</f>
        <v>-0.1</v>
      </c>
      <c r="E307" s="486" t="str">
        <f>E206</f>
        <v>-</v>
      </c>
      <c r="F307" s="486">
        <f>F206</f>
        <v>0</v>
      </c>
      <c r="G307" s="486">
        <f>G206</f>
        <v>0</v>
      </c>
      <c r="I307" s="1059"/>
      <c r="J307" s="486">
        <v>19</v>
      </c>
      <c r="K307" s="486">
        <f>J206</f>
        <v>60</v>
      </c>
      <c r="L307" s="486">
        <f>K206</f>
        <v>0.4</v>
      </c>
      <c r="M307" s="486" t="str">
        <f>L206</f>
        <v>-</v>
      </c>
      <c r="N307" s="486">
        <f>M206</f>
        <v>0</v>
      </c>
      <c r="O307" s="486">
        <f>N206</f>
        <v>0</v>
      </c>
      <c r="Q307" s="1059"/>
      <c r="R307" s="486">
        <v>19</v>
      </c>
      <c r="S307" s="486">
        <f>Q206</f>
        <v>900</v>
      </c>
      <c r="T307" s="486">
        <f>R206</f>
        <v>2.2999999999999998</v>
      </c>
      <c r="U307" s="486" t="str">
        <f>S206</f>
        <v>-</v>
      </c>
      <c r="V307" s="486">
        <f>T206</f>
        <v>0</v>
      </c>
      <c r="W307" s="487">
        <f>U206</f>
        <v>0</v>
      </c>
      <c r="AE307" s="441"/>
    </row>
    <row r="308" spans="1:31" ht="13.5" thickBot="1" x14ac:dyDescent="0.35">
      <c r="A308" s="1059"/>
      <c r="B308" s="486">
        <v>20</v>
      </c>
      <c r="C308" s="486">
        <f>C217</f>
        <v>29.5</v>
      </c>
      <c r="D308" s="486">
        <f>D217</f>
        <v>9.9999999999999995E-7</v>
      </c>
      <c r="E308" s="486" t="str">
        <f>E217</f>
        <v>-</v>
      </c>
      <c r="F308" s="486">
        <f>F217</f>
        <v>9.9999999999999995E-7</v>
      </c>
      <c r="G308" s="486">
        <f>G217</f>
        <v>0</v>
      </c>
      <c r="I308" s="1059"/>
      <c r="J308" s="486">
        <v>20</v>
      </c>
      <c r="K308" s="486">
        <f>J217</f>
        <v>71.5</v>
      </c>
      <c r="L308" s="486">
        <f>K217</f>
        <v>9.9999999999999995E-7</v>
      </c>
      <c r="M308" s="486" t="str">
        <f>L217</f>
        <v>-</v>
      </c>
      <c r="N308" s="486">
        <f>M217</f>
        <v>0</v>
      </c>
      <c r="O308" s="486">
        <f>N217</f>
        <v>0</v>
      </c>
      <c r="Q308" s="1061"/>
      <c r="R308" s="495">
        <v>20</v>
      </c>
      <c r="S308" s="495">
        <f>Q217</f>
        <v>900</v>
      </c>
      <c r="T308" s="495" t="str">
        <f>R217</f>
        <v>-</v>
      </c>
      <c r="U308" s="495" t="str">
        <f>S217</f>
        <v>-</v>
      </c>
      <c r="V308" s="495">
        <f>T217</f>
        <v>0</v>
      </c>
      <c r="W308" s="507">
        <f>U217</f>
        <v>0</v>
      </c>
      <c r="AE308" s="498"/>
    </row>
    <row r="309" spans="1:31" ht="13.5" thickBot="1" x14ac:dyDescent="0.35">
      <c r="A309" s="73"/>
      <c r="B309" s="73"/>
      <c r="C309" s="73"/>
      <c r="D309" s="73"/>
      <c r="E309" s="73"/>
      <c r="F309" s="480"/>
      <c r="G309" s="73"/>
      <c r="I309" s="73"/>
      <c r="J309" s="73"/>
      <c r="K309" s="73"/>
      <c r="L309" s="73"/>
      <c r="M309" s="73"/>
      <c r="N309" s="480"/>
      <c r="O309" s="73"/>
      <c r="Q309" s="508"/>
      <c r="R309" s="510"/>
      <c r="S309" s="312"/>
      <c r="T309" s="312"/>
      <c r="U309" s="312"/>
      <c r="W309" s="313"/>
      <c r="AE309" s="441"/>
    </row>
    <row r="310" spans="1:31" ht="13" x14ac:dyDescent="0.3">
      <c r="A310" s="1059">
        <v>5</v>
      </c>
      <c r="B310" s="486">
        <v>1</v>
      </c>
      <c r="C310" s="486">
        <f>C9</f>
        <v>35</v>
      </c>
      <c r="D310" s="486">
        <f>D9</f>
        <v>-0.1</v>
      </c>
      <c r="E310" s="486">
        <f>E9</f>
        <v>-0.5</v>
      </c>
      <c r="F310" s="486">
        <f>F9</f>
        <v>0</v>
      </c>
      <c r="G310" s="486">
        <f>G9</f>
        <v>0.25</v>
      </c>
      <c r="I310" s="1059">
        <v>5</v>
      </c>
      <c r="J310" s="486">
        <v>1</v>
      </c>
      <c r="K310" s="486">
        <f>J20</f>
        <v>70</v>
      </c>
      <c r="L310" s="486">
        <f>K20</f>
        <v>-2.4</v>
      </c>
      <c r="M310" s="486">
        <f>L20</f>
        <v>-1.1000000000000001</v>
      </c>
      <c r="N310" s="486">
        <f>M20</f>
        <v>0</v>
      </c>
      <c r="O310" s="486">
        <f>N20</f>
        <v>0.64999999999999991</v>
      </c>
      <c r="Q310" s="1060">
        <v>5</v>
      </c>
      <c r="R310" s="502">
        <v>1</v>
      </c>
      <c r="S310" s="502">
        <f>Q9</f>
        <v>1000</v>
      </c>
      <c r="T310" s="502" t="str">
        <f>R9</f>
        <v>-</v>
      </c>
      <c r="U310" s="502" t="str">
        <f>S9</f>
        <v>-</v>
      </c>
      <c r="V310" s="502">
        <f>T9</f>
        <v>0</v>
      </c>
      <c r="W310" s="509">
        <f>U9</f>
        <v>0</v>
      </c>
      <c r="AE310" s="505"/>
    </row>
    <row r="311" spans="1:31" ht="13" x14ac:dyDescent="0.3">
      <c r="A311" s="1059"/>
      <c r="B311" s="486">
        <v>2</v>
      </c>
      <c r="C311" s="486">
        <f>C20</f>
        <v>35</v>
      </c>
      <c r="D311" s="486">
        <f>D20</f>
        <v>-0.1</v>
      </c>
      <c r="E311" s="486">
        <f>E20</f>
        <v>-0.3</v>
      </c>
      <c r="F311" s="486">
        <f>F20</f>
        <v>0</v>
      </c>
      <c r="G311" s="486">
        <f>G20</f>
        <v>9.9999999999999992E-2</v>
      </c>
      <c r="I311" s="1059"/>
      <c r="J311" s="486">
        <v>2</v>
      </c>
      <c r="K311" s="486">
        <f>J20</f>
        <v>70</v>
      </c>
      <c r="L311" s="486">
        <f>K20</f>
        <v>-2.4</v>
      </c>
      <c r="M311" s="486">
        <f>L20</f>
        <v>-1.1000000000000001</v>
      </c>
      <c r="N311" s="486">
        <f>M20</f>
        <v>0</v>
      </c>
      <c r="O311" s="486">
        <f>N20</f>
        <v>0.64999999999999991</v>
      </c>
      <c r="Q311" s="1059"/>
      <c r="R311" s="486">
        <v>2</v>
      </c>
      <c r="S311" s="486">
        <f>Q20</f>
        <v>1000</v>
      </c>
      <c r="T311" s="486" t="str">
        <f>R20</f>
        <v>-</v>
      </c>
      <c r="U311" s="486" t="str">
        <f>S20</f>
        <v>-</v>
      </c>
      <c r="V311" s="486">
        <f>T20</f>
        <v>0</v>
      </c>
      <c r="W311" s="487">
        <f>U20</f>
        <v>0</v>
      </c>
      <c r="AE311" s="441"/>
    </row>
    <row r="312" spans="1:31" ht="13" x14ac:dyDescent="0.3">
      <c r="A312" s="1059"/>
      <c r="B312" s="486">
        <v>3</v>
      </c>
      <c r="C312" s="486">
        <f>C31</f>
        <v>35</v>
      </c>
      <c r="D312" s="486">
        <f>D31</f>
        <v>-0.3</v>
      </c>
      <c r="E312" s="486">
        <f>E31</f>
        <v>-0.5</v>
      </c>
      <c r="F312" s="486">
        <f>F31</f>
        <v>0</v>
      </c>
      <c r="G312" s="486">
        <f>G31</f>
        <v>0.1</v>
      </c>
      <c r="I312" s="1059"/>
      <c r="J312" s="486">
        <v>3</v>
      </c>
      <c r="K312" s="486">
        <f>J31</f>
        <v>70</v>
      </c>
      <c r="L312" s="486">
        <f>K31</f>
        <v>-2</v>
      </c>
      <c r="M312" s="486">
        <f>L31</f>
        <v>-3.6</v>
      </c>
      <c r="N312" s="486">
        <f>M31</f>
        <v>0</v>
      </c>
      <c r="O312" s="486">
        <f>N31</f>
        <v>0.8</v>
      </c>
      <c r="Q312" s="1059"/>
      <c r="R312" s="486">
        <v>3</v>
      </c>
      <c r="S312" s="486">
        <f>Q31</f>
        <v>1000</v>
      </c>
      <c r="T312" s="486" t="str">
        <f>R31</f>
        <v>-</v>
      </c>
      <c r="U312" s="486" t="str">
        <f>S31</f>
        <v>-</v>
      </c>
      <c r="V312" s="486">
        <f>T31</f>
        <v>0</v>
      </c>
      <c r="W312" s="487">
        <f>U31</f>
        <v>0</v>
      </c>
      <c r="AE312" s="441"/>
    </row>
    <row r="313" spans="1:31" ht="13" x14ac:dyDescent="0.3">
      <c r="A313" s="1059"/>
      <c r="B313" s="486">
        <v>4</v>
      </c>
      <c r="C313" s="486">
        <f>C42</f>
        <v>35</v>
      </c>
      <c r="D313" s="486">
        <f>D42</f>
        <v>-0.3</v>
      </c>
      <c r="E313" s="486">
        <f>E42</f>
        <v>-0.6</v>
      </c>
      <c r="F313" s="486">
        <f>F42</f>
        <v>0</v>
      </c>
      <c r="G313" s="486">
        <f>G42</f>
        <v>0.15</v>
      </c>
      <c r="I313" s="1059"/>
      <c r="J313" s="486">
        <v>4</v>
      </c>
      <c r="K313" s="486">
        <f>J42</f>
        <v>70</v>
      </c>
      <c r="L313" s="486">
        <f>K42</f>
        <v>-4</v>
      </c>
      <c r="M313" s="486">
        <f>L42</f>
        <v>0.7</v>
      </c>
      <c r="N313" s="486">
        <f>M42</f>
        <v>0</v>
      </c>
      <c r="O313" s="486">
        <f>N42</f>
        <v>2.35</v>
      </c>
      <c r="Q313" s="1059"/>
      <c r="R313" s="486">
        <v>4</v>
      </c>
      <c r="S313" s="486">
        <f>Q42</f>
        <v>1000</v>
      </c>
      <c r="T313" s="486" t="str">
        <f>R42</f>
        <v>-</v>
      </c>
      <c r="U313" s="486" t="str">
        <f>S42</f>
        <v>-</v>
      </c>
      <c r="V313" s="486">
        <f>T42</f>
        <v>0</v>
      </c>
      <c r="W313" s="487">
        <f>U42</f>
        <v>0</v>
      </c>
      <c r="AE313" s="441"/>
    </row>
    <row r="314" spans="1:31" ht="13" x14ac:dyDescent="0.3">
      <c r="A314" s="1059"/>
      <c r="B314" s="486">
        <v>5</v>
      </c>
      <c r="C314" s="486">
        <f>C53</f>
        <v>35</v>
      </c>
      <c r="D314" s="486">
        <f>D53</f>
        <v>0.7</v>
      </c>
      <c r="E314" s="486">
        <f>E53</f>
        <v>9.9999999999999995E-7</v>
      </c>
      <c r="F314" s="486">
        <f>F53</f>
        <v>0</v>
      </c>
      <c r="G314" s="486">
        <f>G53</f>
        <v>0.34999949999999996</v>
      </c>
      <c r="I314" s="1059"/>
      <c r="J314" s="486">
        <v>5</v>
      </c>
      <c r="K314" s="486">
        <f>J53</f>
        <v>70</v>
      </c>
      <c r="L314" s="486">
        <f>K53</f>
        <v>-4.0999999999999996</v>
      </c>
      <c r="M314" s="486">
        <f>L53</f>
        <v>-2.1</v>
      </c>
      <c r="N314" s="486">
        <f>M53</f>
        <v>0</v>
      </c>
      <c r="O314" s="486">
        <f>N53</f>
        <v>0.99999999999999978</v>
      </c>
      <c r="Q314" s="1059"/>
      <c r="R314" s="486">
        <v>5</v>
      </c>
      <c r="S314" s="486">
        <f>Q53</f>
        <v>1000</v>
      </c>
      <c r="T314" s="486" t="str">
        <f>R53</f>
        <v>-</v>
      </c>
      <c r="U314" s="486" t="str">
        <f>S53</f>
        <v>-</v>
      </c>
      <c r="V314" s="486">
        <f>T53</f>
        <v>0</v>
      </c>
      <c r="W314" s="487">
        <f>U53</f>
        <v>0</v>
      </c>
      <c r="AE314" s="441"/>
    </row>
    <row r="315" spans="1:31" ht="13" x14ac:dyDescent="0.3">
      <c r="A315" s="1059"/>
      <c r="B315" s="486">
        <v>6</v>
      </c>
      <c r="C315" s="486">
        <f>C64</f>
        <v>35</v>
      </c>
      <c r="D315" s="486">
        <f>D64</f>
        <v>0.1</v>
      </c>
      <c r="E315" s="486">
        <f>E64</f>
        <v>-0.9</v>
      </c>
      <c r="F315" s="486">
        <f>F64</f>
        <v>0</v>
      </c>
      <c r="G315" s="486">
        <f>G64</f>
        <v>0.5</v>
      </c>
      <c r="I315" s="1059"/>
      <c r="J315" s="486">
        <v>6</v>
      </c>
      <c r="K315" s="486">
        <f>J64</f>
        <v>70</v>
      </c>
      <c r="L315" s="486">
        <f>K64</f>
        <v>-6.7</v>
      </c>
      <c r="M315" s="486">
        <f>L64</f>
        <v>0.9</v>
      </c>
      <c r="N315" s="486">
        <f>M64</f>
        <v>0</v>
      </c>
      <c r="O315" s="486">
        <f>N64</f>
        <v>3.8000000000000003</v>
      </c>
      <c r="Q315" s="1059"/>
      <c r="R315" s="486">
        <v>6</v>
      </c>
      <c r="S315" s="486">
        <f>Q64</f>
        <v>1000</v>
      </c>
      <c r="T315" s="486">
        <f>R64</f>
        <v>0.9</v>
      </c>
      <c r="U315" s="486">
        <f>S64</f>
        <v>-0.3</v>
      </c>
      <c r="V315" s="486">
        <f>T64</f>
        <v>0</v>
      </c>
      <c r="W315" s="487">
        <f>U64</f>
        <v>0.6</v>
      </c>
      <c r="AE315" s="441"/>
    </row>
    <row r="316" spans="1:31" ht="13" x14ac:dyDescent="0.3">
      <c r="A316" s="1059"/>
      <c r="B316" s="486">
        <v>7</v>
      </c>
      <c r="C316" s="486">
        <f>C75</f>
        <v>35</v>
      </c>
      <c r="D316" s="486">
        <f>D75</f>
        <v>9.9999999999999995E-7</v>
      </c>
      <c r="E316" s="486">
        <f>E75</f>
        <v>-1.1000000000000001</v>
      </c>
      <c r="F316" s="486">
        <f>F75</f>
        <v>0</v>
      </c>
      <c r="G316" s="486">
        <f>G75</f>
        <v>0.5500005</v>
      </c>
      <c r="I316" s="1059"/>
      <c r="J316" s="486">
        <v>7</v>
      </c>
      <c r="K316" s="486">
        <f>J75</f>
        <v>70</v>
      </c>
      <c r="L316" s="486">
        <f>K75</f>
        <v>-2.2999999999999998</v>
      </c>
      <c r="M316" s="486">
        <f>L75</f>
        <v>0.9</v>
      </c>
      <c r="N316" s="486">
        <f>M75</f>
        <v>0</v>
      </c>
      <c r="O316" s="486">
        <f>N75</f>
        <v>1.5999999999999999</v>
      </c>
      <c r="Q316" s="1059"/>
      <c r="R316" s="486">
        <v>7</v>
      </c>
      <c r="S316" s="486">
        <f>Q75</f>
        <v>1000</v>
      </c>
      <c r="T316" s="486">
        <f>R75</f>
        <v>-3.9</v>
      </c>
      <c r="U316" s="486">
        <f>S75</f>
        <v>-0.4</v>
      </c>
      <c r="V316" s="486">
        <f>T75</f>
        <v>0</v>
      </c>
      <c r="W316" s="487">
        <f>U75</f>
        <v>1.75</v>
      </c>
      <c r="AE316" s="441"/>
    </row>
    <row r="317" spans="1:31" ht="13" x14ac:dyDescent="0.3">
      <c r="A317" s="1059"/>
      <c r="B317" s="486">
        <v>8</v>
      </c>
      <c r="C317" s="486">
        <f>C86</f>
        <v>35</v>
      </c>
      <c r="D317" s="486">
        <f>D86</f>
        <v>-0.1</v>
      </c>
      <c r="E317" s="486">
        <f>E86</f>
        <v>-0.5</v>
      </c>
      <c r="F317" s="486">
        <f>F86</f>
        <v>0</v>
      </c>
      <c r="G317" s="486">
        <f>G86</f>
        <v>0.2</v>
      </c>
      <c r="I317" s="1059"/>
      <c r="J317" s="486">
        <v>8</v>
      </c>
      <c r="K317" s="486">
        <f>J86</f>
        <v>70</v>
      </c>
      <c r="L317" s="486">
        <f>K86</f>
        <v>-4.0999999999999996</v>
      </c>
      <c r="M317" s="486">
        <f>L86</f>
        <v>-1.2</v>
      </c>
      <c r="N317" s="486">
        <f>M86</f>
        <v>0</v>
      </c>
      <c r="O317" s="486">
        <f>N86</f>
        <v>1.4499999999999997</v>
      </c>
      <c r="Q317" s="1059"/>
      <c r="R317" s="486">
        <v>8</v>
      </c>
      <c r="S317" s="486">
        <f>Q86</f>
        <v>1000</v>
      </c>
      <c r="T317" s="486">
        <f>R86</f>
        <v>-3.5</v>
      </c>
      <c r="U317" s="486">
        <f>S86</f>
        <v>0.2</v>
      </c>
      <c r="V317" s="486">
        <f>T86</f>
        <v>0</v>
      </c>
      <c r="W317" s="487">
        <f>U86</f>
        <v>1.85</v>
      </c>
      <c r="AE317" s="441"/>
    </row>
    <row r="318" spans="1:31" ht="13" x14ac:dyDescent="0.3">
      <c r="A318" s="1059"/>
      <c r="B318" s="486">
        <v>9</v>
      </c>
      <c r="C318" s="486">
        <f>C97</f>
        <v>35</v>
      </c>
      <c r="D318" s="486">
        <f>D97</f>
        <v>-0.5</v>
      </c>
      <c r="E318" s="486" t="str">
        <f>E97</f>
        <v>-</v>
      </c>
      <c r="F318" s="486">
        <f>F97</f>
        <v>0</v>
      </c>
      <c r="G318" s="486">
        <f>G97</f>
        <v>0</v>
      </c>
      <c r="I318" s="1059"/>
      <c r="J318" s="486">
        <v>9</v>
      </c>
      <c r="K318" s="486">
        <f>J97</f>
        <v>70</v>
      </c>
      <c r="L318" s="486">
        <f>K97</f>
        <v>-0.6</v>
      </c>
      <c r="M318" s="486" t="str">
        <f>L97</f>
        <v>-</v>
      </c>
      <c r="N318" s="486">
        <f>M97</f>
        <v>0</v>
      </c>
      <c r="O318" s="486">
        <f>N97</f>
        <v>0</v>
      </c>
      <c r="Q318" s="1059"/>
      <c r="R318" s="486">
        <v>9</v>
      </c>
      <c r="S318" s="486">
        <f>Q97</f>
        <v>1000</v>
      </c>
      <c r="T318" s="486">
        <f>R97</f>
        <v>0.2</v>
      </c>
      <c r="U318" s="486" t="str">
        <f>S97</f>
        <v>-</v>
      </c>
      <c r="V318" s="486">
        <f>T97</f>
        <v>0</v>
      </c>
      <c r="W318" s="487">
        <f>U97</f>
        <v>0</v>
      </c>
      <c r="AE318" s="441"/>
    </row>
    <row r="319" spans="1:31" ht="13" x14ac:dyDescent="0.3">
      <c r="A319" s="1059"/>
      <c r="B319" s="486">
        <v>10</v>
      </c>
      <c r="C319" s="486">
        <f>C108</f>
        <v>35</v>
      </c>
      <c r="D319" s="486">
        <f>D108</f>
        <v>0.2</v>
      </c>
      <c r="E319" s="486">
        <f>E108</f>
        <v>0.8</v>
      </c>
      <c r="F319" s="486">
        <f>F108</f>
        <v>0</v>
      </c>
      <c r="G319" s="486">
        <f>G108</f>
        <v>0.30000000000000004</v>
      </c>
      <c r="I319" s="1059"/>
      <c r="J319" s="486">
        <v>10</v>
      </c>
      <c r="K319" s="486">
        <f>J108</f>
        <v>70</v>
      </c>
      <c r="L319" s="486">
        <f>K108</f>
        <v>-0.3</v>
      </c>
      <c r="M319" s="486">
        <f>L108</f>
        <v>-5.0999999999999996</v>
      </c>
      <c r="N319" s="486">
        <f>M108</f>
        <v>0</v>
      </c>
      <c r="O319" s="486">
        <f>N108</f>
        <v>2.4</v>
      </c>
      <c r="Q319" s="1059"/>
      <c r="R319" s="486">
        <v>10</v>
      </c>
      <c r="S319" s="486">
        <f>Q108</f>
        <v>1000</v>
      </c>
      <c r="T319" s="486" t="str">
        <f>R108</f>
        <v>-</v>
      </c>
      <c r="U319" s="486" t="str">
        <f>S108</f>
        <v>-</v>
      </c>
      <c r="V319" s="486">
        <f>T108</f>
        <v>0</v>
      </c>
      <c r="W319" s="487">
        <f>U108</f>
        <v>0</v>
      </c>
      <c r="AE319" s="441"/>
    </row>
    <row r="320" spans="1:31" ht="13" x14ac:dyDescent="0.3">
      <c r="A320" s="1059"/>
      <c r="B320" s="486">
        <v>11</v>
      </c>
      <c r="C320" s="486">
        <f>C119</f>
        <v>35</v>
      </c>
      <c r="D320" s="486">
        <f>D119</f>
        <v>0.5</v>
      </c>
      <c r="E320" s="486">
        <f>E119</f>
        <v>0.4</v>
      </c>
      <c r="F320" s="486">
        <f>F119</f>
        <v>0</v>
      </c>
      <c r="G320" s="486">
        <f>G119</f>
        <v>4.9999999999999989E-2</v>
      </c>
      <c r="I320" s="1059"/>
      <c r="J320" s="486">
        <v>11</v>
      </c>
      <c r="K320" s="486">
        <f>J119</f>
        <v>70</v>
      </c>
      <c r="L320" s="486">
        <f>K119</f>
        <v>-3.4</v>
      </c>
      <c r="M320" s="486">
        <f>L119</f>
        <v>-1.7</v>
      </c>
      <c r="N320" s="486">
        <f>M119</f>
        <v>0</v>
      </c>
      <c r="O320" s="486">
        <f>N119</f>
        <v>0.85</v>
      </c>
      <c r="Q320" s="1059"/>
      <c r="R320" s="486">
        <v>11</v>
      </c>
      <c r="S320" s="486">
        <f>Q119</f>
        <v>1000</v>
      </c>
      <c r="T320" s="486" t="str">
        <f>R119</f>
        <v>-</v>
      </c>
      <c r="U320" s="486" t="str">
        <f>S119</f>
        <v>-</v>
      </c>
      <c r="V320" s="486">
        <f>T119</f>
        <v>0</v>
      </c>
      <c r="W320" s="487">
        <f>U119</f>
        <v>0</v>
      </c>
      <c r="AE320" s="441"/>
    </row>
    <row r="321" spans="1:31" ht="13" x14ac:dyDescent="0.3">
      <c r="A321" s="1059"/>
      <c r="B321" s="486">
        <v>12</v>
      </c>
      <c r="C321" s="486">
        <f>C130</f>
        <v>35</v>
      </c>
      <c r="D321" s="486">
        <f>D130</f>
        <v>-0.2</v>
      </c>
      <c r="E321" s="486" t="str">
        <f>E130</f>
        <v>-</v>
      </c>
      <c r="F321" s="486">
        <f>F130</f>
        <v>0</v>
      </c>
      <c r="G321" s="486">
        <f>G130</f>
        <v>0</v>
      </c>
      <c r="I321" s="1059"/>
      <c r="J321" s="486">
        <v>12</v>
      </c>
      <c r="K321" s="486">
        <f>J130</f>
        <v>70</v>
      </c>
      <c r="L321" s="486">
        <f>K130</f>
        <v>-0.1</v>
      </c>
      <c r="M321" s="486" t="str">
        <f>L130</f>
        <v>-</v>
      </c>
      <c r="N321" s="486">
        <f>M130</f>
        <v>0</v>
      </c>
      <c r="O321" s="486">
        <f>N130</f>
        <v>0</v>
      </c>
      <c r="Q321" s="1059"/>
      <c r="R321" s="486">
        <v>12</v>
      </c>
      <c r="S321" s="486">
        <f>Q130</f>
        <v>1000</v>
      </c>
      <c r="T321" s="486">
        <f>R130</f>
        <v>-0.8</v>
      </c>
      <c r="U321" s="486" t="str">
        <f>S130</f>
        <v>-</v>
      </c>
      <c r="V321" s="486">
        <f>T130</f>
        <v>0</v>
      </c>
      <c r="W321" s="487">
        <f>U130</f>
        <v>0</v>
      </c>
      <c r="AE321" s="441"/>
    </row>
    <row r="322" spans="1:31" ht="13" x14ac:dyDescent="0.3">
      <c r="A322" s="1059"/>
      <c r="B322" s="486">
        <v>13</v>
      </c>
      <c r="C322" s="486">
        <f>C141</f>
        <v>35</v>
      </c>
      <c r="D322" s="486">
        <f>E141</f>
        <v>0.3</v>
      </c>
      <c r="E322" s="486" t="str">
        <f>F141</f>
        <v>-</v>
      </c>
      <c r="F322" s="486" t="s">
        <v>243</v>
      </c>
      <c r="G322" s="486">
        <f>G141</f>
        <v>0</v>
      </c>
      <c r="I322" s="1059"/>
      <c r="J322" s="486">
        <v>13</v>
      </c>
      <c r="K322" s="486">
        <f>J141</f>
        <v>70</v>
      </c>
      <c r="L322" s="486">
        <f>L141</f>
        <v>-1.9</v>
      </c>
      <c r="M322" s="486" t="str">
        <f>M141</f>
        <v>-</v>
      </c>
      <c r="N322" s="486" t="s">
        <v>243</v>
      </c>
      <c r="O322" s="486">
        <f>N141</f>
        <v>0</v>
      </c>
      <c r="Q322" s="1059"/>
      <c r="R322" s="486">
        <v>13</v>
      </c>
      <c r="S322" s="486">
        <f>Q141</f>
        <v>1000</v>
      </c>
      <c r="T322" s="486">
        <f>S141</f>
        <v>1.1000000000000001</v>
      </c>
      <c r="U322" s="486" t="str">
        <f>T141</f>
        <v>-</v>
      </c>
      <c r="V322" s="486" t="s">
        <v>243</v>
      </c>
      <c r="W322" s="487">
        <f>U141</f>
        <v>0</v>
      </c>
      <c r="AE322" s="441"/>
    </row>
    <row r="323" spans="1:31" ht="13" x14ac:dyDescent="0.3">
      <c r="A323" s="1059"/>
      <c r="B323" s="486">
        <v>14</v>
      </c>
      <c r="C323" s="486">
        <f>C152</f>
        <v>35</v>
      </c>
      <c r="D323" s="486">
        <f>E152</f>
        <v>-0.6</v>
      </c>
      <c r="E323" s="486" t="str">
        <f>F152</f>
        <v>-</v>
      </c>
      <c r="F323" s="486" t="s">
        <v>243</v>
      </c>
      <c r="G323" s="486">
        <f>G152</f>
        <v>0</v>
      </c>
      <c r="I323" s="1059"/>
      <c r="J323" s="486">
        <v>14</v>
      </c>
      <c r="K323" s="486">
        <f>J152</f>
        <v>70</v>
      </c>
      <c r="L323" s="486">
        <f>L152</f>
        <v>-0.8</v>
      </c>
      <c r="M323" s="486" t="str">
        <f>M152</f>
        <v>-</v>
      </c>
      <c r="N323" s="486" t="s">
        <v>243</v>
      </c>
      <c r="O323" s="486">
        <f>N152</f>
        <v>0</v>
      </c>
      <c r="Q323" s="1059"/>
      <c r="R323" s="486">
        <v>14</v>
      </c>
      <c r="S323" s="486">
        <f>Q152</f>
        <v>1000</v>
      </c>
      <c r="T323" s="486">
        <f>S152</f>
        <v>1.1000000000000001</v>
      </c>
      <c r="U323" s="486" t="str">
        <f>T152</f>
        <v>-</v>
      </c>
      <c r="V323" s="486" t="s">
        <v>243</v>
      </c>
      <c r="W323" s="487">
        <f>U152</f>
        <v>0</v>
      </c>
      <c r="AE323" s="441"/>
    </row>
    <row r="324" spans="1:31" ht="13" x14ac:dyDescent="0.3">
      <c r="A324" s="1059"/>
      <c r="B324" s="486">
        <v>15</v>
      </c>
      <c r="C324" s="486">
        <f>C163</f>
        <v>35</v>
      </c>
      <c r="D324" s="486">
        <f>E163</f>
        <v>-0.1</v>
      </c>
      <c r="E324" s="486" t="str">
        <f>F163</f>
        <v>-</v>
      </c>
      <c r="F324" s="486" t="s">
        <v>243</v>
      </c>
      <c r="G324" s="486">
        <f>G163</f>
        <v>0</v>
      </c>
      <c r="I324" s="1059"/>
      <c r="J324" s="486">
        <v>15</v>
      </c>
      <c r="K324" s="486">
        <f>J163</f>
        <v>70</v>
      </c>
      <c r="L324" s="486">
        <f>L163</f>
        <v>-0.8</v>
      </c>
      <c r="M324" s="486" t="str">
        <f>M163</f>
        <v>-</v>
      </c>
      <c r="N324" s="486" t="s">
        <v>243</v>
      </c>
      <c r="O324" s="486">
        <f>N163</f>
        <v>0</v>
      </c>
      <c r="Q324" s="1059"/>
      <c r="R324" s="486">
        <v>15</v>
      </c>
      <c r="S324" s="486">
        <f>Q163</f>
        <v>1000</v>
      </c>
      <c r="T324" s="486">
        <f>S163</f>
        <v>1.1000000000000001</v>
      </c>
      <c r="U324" s="486" t="str">
        <f>T163</f>
        <v>-</v>
      </c>
      <c r="V324" s="486" t="s">
        <v>243</v>
      </c>
      <c r="W324" s="487">
        <f>U163</f>
        <v>0</v>
      </c>
      <c r="AE324" s="441"/>
    </row>
    <row r="325" spans="1:31" ht="13" x14ac:dyDescent="0.3">
      <c r="A325" s="1059"/>
      <c r="B325" s="486">
        <v>16</v>
      </c>
      <c r="C325" s="486">
        <f>C174</f>
        <v>35</v>
      </c>
      <c r="D325" s="486">
        <f>D174</f>
        <v>0.1</v>
      </c>
      <c r="E325" s="486" t="str">
        <f>E174</f>
        <v>-</v>
      </c>
      <c r="F325" s="486">
        <f>F174</f>
        <v>0</v>
      </c>
      <c r="G325" s="486">
        <f>G174</f>
        <v>0</v>
      </c>
      <c r="I325" s="1059"/>
      <c r="J325" s="486">
        <v>16</v>
      </c>
      <c r="K325" s="486">
        <f>J174</f>
        <v>70</v>
      </c>
      <c r="L325" s="486">
        <f>K174</f>
        <v>-1.8</v>
      </c>
      <c r="M325" s="486" t="str">
        <f>L174</f>
        <v>-</v>
      </c>
      <c r="N325" s="486">
        <f>M174</f>
        <v>0</v>
      </c>
      <c r="O325" s="486">
        <f>N174</f>
        <v>0</v>
      </c>
      <c r="Q325" s="1059"/>
      <c r="R325" s="486">
        <v>16</v>
      </c>
      <c r="S325" s="486">
        <f>Q174</f>
        <v>1000</v>
      </c>
      <c r="T325" s="486">
        <f>R174</f>
        <v>-0.4</v>
      </c>
      <c r="U325" s="486" t="str">
        <f>S174</f>
        <v>-</v>
      </c>
      <c r="V325" s="486">
        <f>T174</f>
        <v>0</v>
      </c>
      <c r="W325" s="487">
        <f>U174</f>
        <v>0</v>
      </c>
      <c r="AE325" s="441"/>
    </row>
    <row r="326" spans="1:31" ht="13" x14ac:dyDescent="0.3">
      <c r="A326" s="1059"/>
      <c r="B326" s="486">
        <v>17</v>
      </c>
      <c r="C326" s="486">
        <f>C185</f>
        <v>35</v>
      </c>
      <c r="D326" s="486">
        <f>D185</f>
        <v>-0.5</v>
      </c>
      <c r="E326" s="486" t="str">
        <f>E185</f>
        <v>-</v>
      </c>
      <c r="F326" s="486">
        <f>F185</f>
        <v>0</v>
      </c>
      <c r="G326" s="486">
        <f>G185</f>
        <v>0</v>
      </c>
      <c r="I326" s="1059"/>
      <c r="J326" s="486">
        <v>17</v>
      </c>
      <c r="K326" s="486">
        <f>J185</f>
        <v>70</v>
      </c>
      <c r="L326" s="486">
        <f>K185</f>
        <v>-0.3</v>
      </c>
      <c r="M326" s="486" t="str">
        <f>L185</f>
        <v>-</v>
      </c>
      <c r="N326" s="486">
        <f>M185</f>
        <v>0</v>
      </c>
      <c r="O326" s="486">
        <f>N185</f>
        <v>0</v>
      </c>
      <c r="Q326" s="1059"/>
      <c r="R326" s="486">
        <v>17</v>
      </c>
      <c r="S326" s="486">
        <f>Q185</f>
        <v>1000</v>
      </c>
      <c r="T326" s="486">
        <f>R185</f>
        <v>-0.6</v>
      </c>
      <c r="U326" s="486" t="str">
        <f>S185</f>
        <v>-</v>
      </c>
      <c r="V326" s="486">
        <f>T185</f>
        <v>0</v>
      </c>
      <c r="W326" s="487">
        <f>U185</f>
        <v>0</v>
      </c>
      <c r="AE326" s="441"/>
    </row>
    <row r="327" spans="1:31" ht="13" x14ac:dyDescent="0.3">
      <c r="A327" s="1059"/>
      <c r="B327" s="486">
        <v>18</v>
      </c>
      <c r="C327" s="486">
        <f>C196</f>
        <v>35</v>
      </c>
      <c r="D327" s="486">
        <f>D196</f>
        <v>-0.3</v>
      </c>
      <c r="E327" s="486" t="str">
        <f>E196</f>
        <v>-</v>
      </c>
      <c r="F327" s="486">
        <f>F196</f>
        <v>0</v>
      </c>
      <c r="G327" s="486">
        <f>G196</f>
        <v>0</v>
      </c>
      <c r="I327" s="1059"/>
      <c r="J327" s="486">
        <v>18</v>
      </c>
      <c r="K327" s="486">
        <f>J196</f>
        <v>70</v>
      </c>
      <c r="L327" s="486">
        <f>K196</f>
        <v>-0.3</v>
      </c>
      <c r="M327" s="486" t="str">
        <f>L196</f>
        <v>-</v>
      </c>
      <c r="N327" s="486">
        <f>M196</f>
        <v>0</v>
      </c>
      <c r="O327" s="486">
        <f>N196</f>
        <v>0</v>
      </c>
      <c r="Q327" s="1059"/>
      <c r="R327" s="486">
        <v>18</v>
      </c>
      <c r="S327" s="486">
        <f>Q196</f>
        <v>1000</v>
      </c>
      <c r="T327" s="486">
        <f>R196</f>
        <v>-0.8</v>
      </c>
      <c r="U327" s="486" t="str">
        <f>S196</f>
        <v>-</v>
      </c>
      <c r="V327" s="486">
        <f>T196</f>
        <v>0</v>
      </c>
      <c r="W327" s="487">
        <f>U196</f>
        <v>0</v>
      </c>
      <c r="AE327" s="441"/>
    </row>
    <row r="328" spans="1:31" ht="13" x14ac:dyDescent="0.3">
      <c r="A328" s="1059"/>
      <c r="B328" s="486">
        <v>19</v>
      </c>
      <c r="C328" s="486">
        <f>C207</f>
        <v>35</v>
      </c>
      <c r="D328" s="486">
        <f>D207</f>
        <v>-0.1</v>
      </c>
      <c r="E328" s="486" t="str">
        <f>E207</f>
        <v>-</v>
      </c>
      <c r="F328" s="486">
        <f>F207</f>
        <v>0</v>
      </c>
      <c r="G328" s="486">
        <f>G207</f>
        <v>0</v>
      </c>
      <c r="I328" s="1059"/>
      <c r="J328" s="486">
        <v>19</v>
      </c>
      <c r="K328" s="486">
        <f>J207</f>
        <v>70</v>
      </c>
      <c r="L328" s="486">
        <f>K207</f>
        <v>-0.7</v>
      </c>
      <c r="M328" s="486" t="str">
        <f>L207</f>
        <v>-</v>
      </c>
      <c r="N328" s="486">
        <f>M207</f>
        <v>0</v>
      </c>
      <c r="O328" s="486">
        <f>N207</f>
        <v>0</v>
      </c>
      <c r="Q328" s="1059"/>
      <c r="R328" s="486">
        <v>19</v>
      </c>
      <c r="S328" s="486">
        <f>Q207</f>
        <v>1000</v>
      </c>
      <c r="T328" s="486">
        <f>R207</f>
        <v>2.2000000000000002</v>
      </c>
      <c r="U328" s="486" t="str">
        <f>S207</f>
        <v>-</v>
      </c>
      <c r="V328" s="486">
        <f>T207</f>
        <v>0</v>
      </c>
      <c r="W328" s="487">
        <f>U207</f>
        <v>0</v>
      </c>
      <c r="AE328" s="441"/>
    </row>
    <row r="329" spans="1:31" ht="13.5" thickBot="1" x14ac:dyDescent="0.35">
      <c r="A329" s="1059"/>
      <c r="B329" s="486">
        <v>20</v>
      </c>
      <c r="C329" s="486">
        <f>C218</f>
        <v>34.5</v>
      </c>
      <c r="D329" s="486">
        <f>D218</f>
        <v>9.9999999999999995E-7</v>
      </c>
      <c r="E329" s="486" t="str">
        <f>E218</f>
        <v>-</v>
      </c>
      <c r="F329" s="486">
        <f>F218</f>
        <v>9.9999999999999995E-7</v>
      </c>
      <c r="G329" s="486">
        <f>G218</f>
        <v>0</v>
      </c>
      <c r="I329" s="1059"/>
      <c r="J329" s="486">
        <v>20</v>
      </c>
      <c r="K329" s="486">
        <f>J218</f>
        <v>80.8</v>
      </c>
      <c r="L329" s="486">
        <f>K218</f>
        <v>9.9999999999999995E-7</v>
      </c>
      <c r="M329" s="486" t="str">
        <f>L218</f>
        <v>-</v>
      </c>
      <c r="N329" s="486">
        <f>M218</f>
        <v>0</v>
      </c>
      <c r="O329" s="486">
        <f>N218</f>
        <v>0</v>
      </c>
      <c r="Q329" s="1061"/>
      <c r="R329" s="495">
        <v>20</v>
      </c>
      <c r="S329" s="495">
        <f>Q218</f>
        <v>1000</v>
      </c>
      <c r="T329" s="495" t="str">
        <f>R218</f>
        <v>-</v>
      </c>
      <c r="U329" s="495" t="str">
        <f>S218</f>
        <v>-</v>
      </c>
      <c r="V329" s="495">
        <f>T218</f>
        <v>0</v>
      </c>
      <c r="W329" s="507">
        <f>U218</f>
        <v>0</v>
      </c>
      <c r="AE329" s="498"/>
    </row>
    <row r="330" spans="1:31" ht="13.5" thickBot="1" x14ac:dyDescent="0.35">
      <c r="A330" s="73"/>
      <c r="B330" s="73"/>
      <c r="C330" s="73"/>
      <c r="D330" s="73"/>
      <c r="E330" s="73"/>
      <c r="F330" s="480"/>
      <c r="G330" s="73"/>
      <c r="I330" s="73"/>
      <c r="J330" s="73"/>
      <c r="K330" s="73"/>
      <c r="L330" s="73"/>
      <c r="M330" s="73"/>
      <c r="N330" s="480"/>
      <c r="O330" s="73"/>
      <c r="Q330" s="508"/>
      <c r="R330" s="499"/>
      <c r="S330" s="312"/>
      <c r="T330" s="312"/>
      <c r="U330" s="312"/>
      <c r="W330" s="313"/>
      <c r="AE330" s="441"/>
    </row>
    <row r="331" spans="1:31" ht="13" x14ac:dyDescent="0.3">
      <c r="A331" s="1059">
        <v>6</v>
      </c>
      <c r="B331" s="486">
        <v>1</v>
      </c>
      <c r="C331" s="486">
        <f>C10</f>
        <v>37</v>
      </c>
      <c r="D331" s="486">
        <f>D10</f>
        <v>-0.2</v>
      </c>
      <c r="E331" s="486">
        <f>E10</f>
        <v>-0.6</v>
      </c>
      <c r="F331" s="486">
        <f>F10</f>
        <v>0</v>
      </c>
      <c r="G331" s="486">
        <f>G10</f>
        <v>0.3</v>
      </c>
      <c r="I331" s="1059">
        <v>6</v>
      </c>
      <c r="J331" s="486">
        <v>1</v>
      </c>
      <c r="K331" s="486">
        <f>J10</f>
        <v>80</v>
      </c>
      <c r="L331" s="486">
        <f>K10</f>
        <v>-3.2</v>
      </c>
      <c r="M331" s="486">
        <f>L10</f>
        <v>0.7</v>
      </c>
      <c r="N331" s="486">
        <f>M10</f>
        <v>0</v>
      </c>
      <c r="O331" s="486">
        <f>N10</f>
        <v>1.9500000000000002</v>
      </c>
      <c r="Q331" s="1060">
        <v>6</v>
      </c>
      <c r="R331" s="502">
        <v>1</v>
      </c>
      <c r="S331" s="502">
        <f>Q10</f>
        <v>1005</v>
      </c>
      <c r="T331" s="502" t="str">
        <f>R10</f>
        <v>-</v>
      </c>
      <c r="U331" s="502" t="str">
        <f>S10</f>
        <v>-</v>
      </c>
      <c r="V331" s="502">
        <f>T10</f>
        <v>0</v>
      </c>
      <c r="W331" s="509">
        <f>U10</f>
        <v>0</v>
      </c>
      <c r="AE331" s="505"/>
    </row>
    <row r="332" spans="1:31" ht="13" x14ac:dyDescent="0.3">
      <c r="A332" s="1059"/>
      <c r="B332" s="486">
        <v>2</v>
      </c>
      <c r="C332" s="486">
        <f>C21</f>
        <v>37</v>
      </c>
      <c r="D332" s="486">
        <f>D21</f>
        <v>-0.2</v>
      </c>
      <c r="E332" s="486">
        <f>E21</f>
        <v>-0.3</v>
      </c>
      <c r="F332" s="486">
        <f>F21</f>
        <v>0</v>
      </c>
      <c r="G332" s="486">
        <f>G21</f>
        <v>4.9999999999999989E-2</v>
      </c>
      <c r="I332" s="1059"/>
      <c r="J332" s="486">
        <v>2</v>
      </c>
      <c r="K332" s="486">
        <f>J21</f>
        <v>80</v>
      </c>
      <c r="L332" s="486">
        <f>K21</f>
        <v>-0.5</v>
      </c>
      <c r="M332" s="486">
        <f>L21</f>
        <v>-0.7</v>
      </c>
      <c r="N332" s="486">
        <f>M21</f>
        <v>0</v>
      </c>
      <c r="O332" s="486">
        <f>N21</f>
        <v>9.9999999999999978E-2</v>
      </c>
      <c r="Q332" s="1059"/>
      <c r="R332" s="486">
        <v>2</v>
      </c>
      <c r="S332" s="486">
        <f>Q21</f>
        <v>1005</v>
      </c>
      <c r="T332" s="486" t="str">
        <f>R21</f>
        <v>-</v>
      </c>
      <c r="U332" s="486" t="str">
        <f>S21</f>
        <v>-</v>
      </c>
      <c r="V332" s="486">
        <f>T21</f>
        <v>0</v>
      </c>
      <c r="W332" s="487">
        <f>U21</f>
        <v>0</v>
      </c>
      <c r="AE332" s="441"/>
    </row>
    <row r="333" spans="1:31" ht="13" x14ac:dyDescent="0.3">
      <c r="A333" s="1059"/>
      <c r="B333" s="486">
        <v>3</v>
      </c>
      <c r="C333" s="486">
        <f>C32</f>
        <v>37</v>
      </c>
      <c r="D333" s="486">
        <f>D32</f>
        <v>-0.2</v>
      </c>
      <c r="E333" s="486">
        <f>E32</f>
        <v>-0.6</v>
      </c>
      <c r="F333" s="486">
        <f>F32</f>
        <v>0</v>
      </c>
      <c r="G333" s="486">
        <f>G32</f>
        <v>0.19999999999999998</v>
      </c>
      <c r="I333" s="1059"/>
      <c r="J333" s="486">
        <v>3</v>
      </c>
      <c r="K333" s="486">
        <f>J32</f>
        <v>80</v>
      </c>
      <c r="L333" s="486">
        <f>K32</f>
        <v>-0.8</v>
      </c>
      <c r="M333" s="486">
        <f>L32</f>
        <v>-2.9</v>
      </c>
      <c r="N333" s="486">
        <f>M32</f>
        <v>0</v>
      </c>
      <c r="O333" s="486">
        <f>N32</f>
        <v>1.0499999999999998</v>
      </c>
      <c r="Q333" s="1059"/>
      <c r="R333" s="486">
        <v>3</v>
      </c>
      <c r="S333" s="486">
        <f>Q32</f>
        <v>1005</v>
      </c>
      <c r="T333" s="486" t="str">
        <f>R32</f>
        <v>-</v>
      </c>
      <c r="U333" s="486" t="str">
        <f>S32</f>
        <v>-</v>
      </c>
      <c r="V333" s="486">
        <f>T32</f>
        <v>0</v>
      </c>
      <c r="W333" s="487">
        <f>U32</f>
        <v>0</v>
      </c>
      <c r="AE333" s="441"/>
    </row>
    <row r="334" spans="1:31" ht="13" x14ac:dyDescent="0.3">
      <c r="A334" s="1059"/>
      <c r="B334" s="486">
        <v>4</v>
      </c>
      <c r="C334" s="486">
        <f>C43</f>
        <v>37</v>
      </c>
      <c r="D334" s="486">
        <f>D43</f>
        <v>-0.4</v>
      </c>
      <c r="E334" s="486">
        <f>E43</f>
        <v>-0.6</v>
      </c>
      <c r="F334" s="486">
        <f>F43</f>
        <v>0</v>
      </c>
      <c r="G334" s="486">
        <f>G43</f>
        <v>9.9999999999999978E-2</v>
      </c>
      <c r="I334" s="1059"/>
      <c r="J334" s="486">
        <v>4</v>
      </c>
      <c r="K334" s="486">
        <f>J43</f>
        <v>80</v>
      </c>
      <c r="L334" s="486">
        <f>K43</f>
        <v>-3.8</v>
      </c>
      <c r="M334" s="486">
        <f>L43</f>
        <v>1.9</v>
      </c>
      <c r="N334" s="486">
        <f>M43</f>
        <v>0</v>
      </c>
      <c r="O334" s="486">
        <f>N43</f>
        <v>2.8499999999999996</v>
      </c>
      <c r="Q334" s="1059"/>
      <c r="R334" s="486">
        <v>4</v>
      </c>
      <c r="S334" s="486">
        <f>Q43</f>
        <v>1005</v>
      </c>
      <c r="T334" s="486" t="str">
        <f>R43</f>
        <v>-</v>
      </c>
      <c r="U334" s="486" t="str">
        <f>S43</f>
        <v>-</v>
      </c>
      <c r="V334" s="486">
        <f>T43</f>
        <v>0</v>
      </c>
      <c r="W334" s="487">
        <f>U43</f>
        <v>0</v>
      </c>
      <c r="AE334" s="441"/>
    </row>
    <row r="335" spans="1:31" ht="13" x14ac:dyDescent="0.3">
      <c r="A335" s="1059"/>
      <c r="B335" s="486">
        <v>5</v>
      </c>
      <c r="C335" s="486">
        <f>C54</f>
        <v>37</v>
      </c>
      <c r="D335" s="486">
        <f>D54</f>
        <v>0.7</v>
      </c>
      <c r="E335" s="486">
        <f>E54</f>
        <v>9.9999999999999995E-7</v>
      </c>
      <c r="F335" s="486">
        <f>F54</f>
        <v>0</v>
      </c>
      <c r="G335" s="486">
        <f>G54</f>
        <v>0.34999949999999996</v>
      </c>
      <c r="I335" s="1059"/>
      <c r="J335" s="486">
        <v>5</v>
      </c>
      <c r="K335" s="486">
        <f>J54</f>
        <v>80</v>
      </c>
      <c r="L335" s="486">
        <f>K54</f>
        <v>-3</v>
      </c>
      <c r="M335" s="486">
        <f>L54</f>
        <v>0.2</v>
      </c>
      <c r="N335" s="486">
        <f>M54</f>
        <v>0</v>
      </c>
      <c r="O335" s="486">
        <f>N54</f>
        <v>1.6</v>
      </c>
      <c r="Q335" s="1059"/>
      <c r="R335" s="486">
        <v>5</v>
      </c>
      <c r="S335" s="486">
        <f>Q54</f>
        <v>1005</v>
      </c>
      <c r="T335" s="486" t="str">
        <f>R54</f>
        <v>-</v>
      </c>
      <c r="U335" s="486" t="str">
        <f>S54</f>
        <v>-</v>
      </c>
      <c r="V335" s="486">
        <f>T54</f>
        <v>0</v>
      </c>
      <c r="W335" s="487">
        <f>U54</f>
        <v>0</v>
      </c>
      <c r="AE335" s="441"/>
    </row>
    <row r="336" spans="1:31" ht="13" x14ac:dyDescent="0.3">
      <c r="A336" s="1059"/>
      <c r="B336" s="486">
        <v>6</v>
      </c>
      <c r="C336" s="486">
        <f>C65</f>
        <v>37</v>
      </c>
      <c r="D336" s="486">
        <f>D65</f>
        <v>0.1</v>
      </c>
      <c r="E336" s="486">
        <f>E65</f>
        <v>-1.1000000000000001</v>
      </c>
      <c r="F336" s="486">
        <f>F65</f>
        <v>0</v>
      </c>
      <c r="G336" s="486">
        <f>G65</f>
        <v>0.60000000000000009</v>
      </c>
      <c r="I336" s="1059"/>
      <c r="J336" s="486">
        <v>6</v>
      </c>
      <c r="K336" s="486">
        <f>J65</f>
        <v>80</v>
      </c>
      <c r="L336" s="486">
        <f>K65</f>
        <v>-6.3</v>
      </c>
      <c r="M336" s="486">
        <f>L65</f>
        <v>0.8</v>
      </c>
      <c r="N336" s="486">
        <f>M65</f>
        <v>0</v>
      </c>
      <c r="O336" s="486">
        <f>N65</f>
        <v>3.55</v>
      </c>
      <c r="Q336" s="1059"/>
      <c r="R336" s="486">
        <v>6</v>
      </c>
      <c r="S336" s="486">
        <f>Q65</f>
        <v>1005</v>
      </c>
      <c r="T336" s="486">
        <f>R65</f>
        <v>0.9</v>
      </c>
      <c r="U336" s="486">
        <f>S65</f>
        <v>-0.3</v>
      </c>
      <c r="V336" s="486">
        <f>T65</f>
        <v>0</v>
      </c>
      <c r="W336" s="487">
        <f>U65</f>
        <v>0.6</v>
      </c>
      <c r="AE336" s="441"/>
    </row>
    <row r="337" spans="1:31" ht="13" x14ac:dyDescent="0.3">
      <c r="A337" s="1059"/>
      <c r="B337" s="486">
        <v>7</v>
      </c>
      <c r="C337" s="486">
        <f>C76</f>
        <v>37</v>
      </c>
      <c r="D337" s="486">
        <f>D76</f>
        <v>9.9999999999999995E-7</v>
      </c>
      <c r="E337" s="486">
        <f>E76</f>
        <v>-1.4</v>
      </c>
      <c r="F337" s="486">
        <f>F76</f>
        <v>0</v>
      </c>
      <c r="G337" s="486">
        <f>G76</f>
        <v>0.70000049999999991</v>
      </c>
      <c r="I337" s="1059"/>
      <c r="J337" s="486">
        <v>7</v>
      </c>
      <c r="K337" s="486">
        <f>J76</f>
        <v>80</v>
      </c>
      <c r="L337" s="486">
        <f>K76</f>
        <v>-2.6</v>
      </c>
      <c r="M337" s="486">
        <f>L76</f>
        <v>1.2</v>
      </c>
      <c r="N337" s="486">
        <f>M76</f>
        <v>0</v>
      </c>
      <c r="O337" s="486">
        <f>N76</f>
        <v>1.9</v>
      </c>
      <c r="Q337" s="1059"/>
      <c r="R337" s="486">
        <v>7</v>
      </c>
      <c r="S337" s="486">
        <f>Q76</f>
        <v>1005</v>
      </c>
      <c r="T337" s="486">
        <f>R76</f>
        <v>-3.8</v>
      </c>
      <c r="U337" s="486">
        <f>S76</f>
        <v>-0.5</v>
      </c>
      <c r="V337" s="486">
        <f>T76</f>
        <v>0</v>
      </c>
      <c r="W337" s="487">
        <f>U76</f>
        <v>1.65</v>
      </c>
      <c r="AE337" s="441"/>
    </row>
    <row r="338" spans="1:31" ht="13" x14ac:dyDescent="0.3">
      <c r="A338" s="1059"/>
      <c r="B338" s="486">
        <v>8</v>
      </c>
      <c r="C338" s="486">
        <f>C87</f>
        <v>37</v>
      </c>
      <c r="D338" s="486">
        <f>D87</f>
        <v>-0.1</v>
      </c>
      <c r="E338" s="486">
        <f>E87</f>
        <v>-0.5</v>
      </c>
      <c r="F338" s="486">
        <f>F87</f>
        <v>0</v>
      </c>
      <c r="G338" s="486">
        <f>G87</f>
        <v>0.2</v>
      </c>
      <c r="I338" s="1059"/>
      <c r="J338" s="486">
        <v>8</v>
      </c>
      <c r="K338" s="486">
        <f>J87</f>
        <v>80</v>
      </c>
      <c r="L338" s="486">
        <f>K87</f>
        <v>-4.5</v>
      </c>
      <c r="M338" s="486">
        <f>L87</f>
        <v>-1.2</v>
      </c>
      <c r="N338" s="486">
        <f>M87</f>
        <v>0</v>
      </c>
      <c r="O338" s="486">
        <f>N87</f>
        <v>1.65</v>
      </c>
      <c r="Q338" s="1059"/>
      <c r="R338" s="486">
        <v>8</v>
      </c>
      <c r="S338" s="486">
        <f>Q87</f>
        <v>1005</v>
      </c>
      <c r="T338" s="486">
        <f>R87</f>
        <v>-3.4</v>
      </c>
      <c r="U338" s="486">
        <f>S87</f>
        <v>0.2</v>
      </c>
      <c r="V338" s="486">
        <f>T87</f>
        <v>0</v>
      </c>
      <c r="W338" s="487">
        <f>U87</f>
        <v>1.8</v>
      </c>
      <c r="AE338" s="441"/>
    </row>
    <row r="339" spans="1:31" ht="13" x14ac:dyDescent="0.3">
      <c r="A339" s="1059"/>
      <c r="B339" s="486">
        <v>9</v>
      </c>
      <c r="C339" s="486">
        <f>C98</f>
        <v>37</v>
      </c>
      <c r="D339" s="486">
        <f>D98</f>
        <v>-0.5</v>
      </c>
      <c r="E339" s="486" t="str">
        <f>E98</f>
        <v>-</v>
      </c>
      <c r="F339" s="486">
        <f>F98</f>
        <v>0</v>
      </c>
      <c r="G339" s="486">
        <f>G98</f>
        <v>0</v>
      </c>
      <c r="I339" s="1059"/>
      <c r="J339" s="486">
        <v>9</v>
      </c>
      <c r="K339" s="486">
        <f>J98</f>
        <v>80</v>
      </c>
      <c r="L339" s="486">
        <f>K98</f>
        <v>-0.5</v>
      </c>
      <c r="M339" s="486" t="str">
        <f>L98</f>
        <v>-</v>
      </c>
      <c r="N339" s="486">
        <f>M98</f>
        <v>0</v>
      </c>
      <c r="O339" s="486">
        <f>N98</f>
        <v>0</v>
      </c>
      <c r="Q339" s="1059"/>
      <c r="R339" s="486">
        <v>9</v>
      </c>
      <c r="S339" s="486">
        <f>Q98</f>
        <v>1005</v>
      </c>
      <c r="T339" s="486">
        <f>R98</f>
        <v>0.2</v>
      </c>
      <c r="U339" s="486" t="str">
        <f>S98</f>
        <v>-</v>
      </c>
      <c r="V339" s="486">
        <f>T98</f>
        <v>0</v>
      </c>
      <c r="W339" s="487">
        <f>U98</f>
        <v>0</v>
      </c>
      <c r="AE339" s="441"/>
    </row>
    <row r="340" spans="1:31" ht="13" x14ac:dyDescent="0.3">
      <c r="A340" s="1059"/>
      <c r="B340" s="486">
        <v>10</v>
      </c>
      <c r="C340" s="486">
        <f>C109</f>
        <v>37</v>
      </c>
      <c r="D340" s="486">
        <f>D109</f>
        <v>0.2</v>
      </c>
      <c r="E340" s="486">
        <f>E109</f>
        <v>0.4</v>
      </c>
      <c r="F340" s="486">
        <f>F109</f>
        <v>0</v>
      </c>
      <c r="G340" s="486">
        <f>G109</f>
        <v>0.1</v>
      </c>
      <c r="I340" s="1059"/>
      <c r="J340" s="486">
        <v>10</v>
      </c>
      <c r="K340" s="486">
        <f>J109</f>
        <v>80</v>
      </c>
      <c r="L340" s="486">
        <f>K109</f>
        <v>2.2000000000000002</v>
      </c>
      <c r="M340" s="486">
        <f>L109</f>
        <v>-4.7</v>
      </c>
      <c r="N340" s="486">
        <f>M109</f>
        <v>0</v>
      </c>
      <c r="O340" s="486">
        <f>N109</f>
        <v>3.45</v>
      </c>
      <c r="Q340" s="1059"/>
      <c r="R340" s="486">
        <v>10</v>
      </c>
      <c r="S340" s="486">
        <f>Q109</f>
        <v>1005</v>
      </c>
      <c r="T340" s="486" t="str">
        <f>R109</f>
        <v>-</v>
      </c>
      <c r="U340" s="486" t="str">
        <f>S109</f>
        <v>-</v>
      </c>
      <c r="V340" s="486">
        <f>T109</f>
        <v>0</v>
      </c>
      <c r="W340" s="487">
        <f>U109</f>
        <v>0</v>
      </c>
      <c r="AE340" s="441"/>
    </row>
    <row r="341" spans="1:31" ht="13" x14ac:dyDescent="0.3">
      <c r="A341" s="1059"/>
      <c r="B341" s="486">
        <v>11</v>
      </c>
      <c r="C341" s="486">
        <f>C120</f>
        <v>37</v>
      </c>
      <c r="D341" s="486">
        <f>D120</f>
        <v>0.5</v>
      </c>
      <c r="E341" s="486">
        <f>E120</f>
        <v>0.5</v>
      </c>
      <c r="F341" s="486">
        <f>F120</f>
        <v>0</v>
      </c>
      <c r="G341" s="486">
        <f>G120</f>
        <v>0</v>
      </c>
      <c r="I341" s="1059"/>
      <c r="J341" s="486">
        <v>11</v>
      </c>
      <c r="K341" s="486">
        <f>J120</f>
        <v>80</v>
      </c>
      <c r="L341" s="486">
        <f>K120</f>
        <v>-1.4</v>
      </c>
      <c r="M341" s="486">
        <f>L120</f>
        <v>2.6</v>
      </c>
      <c r="N341" s="486">
        <f>M120</f>
        <v>0</v>
      </c>
      <c r="O341" s="486">
        <f>N120</f>
        <v>2</v>
      </c>
      <c r="Q341" s="1059"/>
      <c r="R341" s="486">
        <v>11</v>
      </c>
      <c r="S341" s="486">
        <f>Q120</f>
        <v>1005</v>
      </c>
      <c r="T341" s="486" t="str">
        <f>R120</f>
        <v>-</v>
      </c>
      <c r="U341" s="486" t="str">
        <f>S120</f>
        <v>-</v>
      </c>
      <c r="V341" s="486">
        <f>T120</f>
        <v>0</v>
      </c>
      <c r="W341" s="487">
        <f>U120</f>
        <v>0</v>
      </c>
      <c r="AE341" s="441"/>
    </row>
    <row r="342" spans="1:31" ht="13" x14ac:dyDescent="0.3">
      <c r="A342" s="1059"/>
      <c r="B342" s="486">
        <v>12</v>
      </c>
      <c r="C342" s="486">
        <f>C131</f>
        <v>37</v>
      </c>
      <c r="D342" s="486">
        <f>D131</f>
        <v>-0.3</v>
      </c>
      <c r="E342" s="486" t="str">
        <f>E131</f>
        <v>-</v>
      </c>
      <c r="F342" s="486">
        <f>F131</f>
        <v>0</v>
      </c>
      <c r="G342" s="486">
        <f>G131</f>
        <v>0</v>
      </c>
      <c r="I342" s="1059"/>
      <c r="J342" s="486">
        <v>12</v>
      </c>
      <c r="K342" s="486">
        <f>J131</f>
        <v>80</v>
      </c>
      <c r="L342" s="486">
        <f>K131</f>
        <v>-0.5</v>
      </c>
      <c r="M342" s="486" t="str">
        <f>L131</f>
        <v>-</v>
      </c>
      <c r="N342" s="486">
        <f>M131</f>
        <v>0</v>
      </c>
      <c r="O342" s="486">
        <f>N131</f>
        <v>0</v>
      </c>
      <c r="Q342" s="1059"/>
      <c r="R342" s="486">
        <v>12</v>
      </c>
      <c r="S342" s="486">
        <f>Q131</f>
        <v>1005</v>
      </c>
      <c r="T342" s="486">
        <f>R131</f>
        <v>-0.8</v>
      </c>
      <c r="U342" s="486" t="str">
        <f>S131</f>
        <v>-</v>
      </c>
      <c r="V342" s="486">
        <f>T131</f>
        <v>0</v>
      </c>
      <c r="W342" s="487">
        <f>U131</f>
        <v>0</v>
      </c>
      <c r="AE342" s="441"/>
    </row>
    <row r="343" spans="1:31" ht="13" x14ac:dyDescent="0.3">
      <c r="A343" s="1059"/>
      <c r="B343" s="486">
        <v>13</v>
      </c>
      <c r="C343" s="486">
        <f>C142</f>
        <v>37</v>
      </c>
      <c r="D343" s="486">
        <f>E142</f>
        <v>0.4</v>
      </c>
      <c r="E343" s="486" t="str">
        <f>F142</f>
        <v>-</v>
      </c>
      <c r="F343" s="486" t="s">
        <v>243</v>
      </c>
      <c r="G343" s="486">
        <f>G142</f>
        <v>0</v>
      </c>
      <c r="I343" s="1059"/>
      <c r="J343" s="486">
        <v>13</v>
      </c>
      <c r="K343" s="486">
        <f>J142</f>
        <v>80</v>
      </c>
      <c r="L343" s="486">
        <f>L142</f>
        <v>-2.5</v>
      </c>
      <c r="M343" s="486" t="str">
        <f>M142</f>
        <v>-</v>
      </c>
      <c r="N343" s="486" t="s">
        <v>243</v>
      </c>
      <c r="O343" s="486">
        <f>N142</f>
        <v>0</v>
      </c>
      <c r="Q343" s="1059"/>
      <c r="R343" s="486">
        <v>13</v>
      </c>
      <c r="S343" s="486">
        <f>Q142</f>
        <v>1005</v>
      </c>
      <c r="T343" s="486">
        <f>S142</f>
        <v>1.1000000000000001</v>
      </c>
      <c r="U343" s="486" t="str">
        <f>T142</f>
        <v>-</v>
      </c>
      <c r="V343" s="486" t="s">
        <v>243</v>
      </c>
      <c r="W343" s="487">
        <f>U142</f>
        <v>0</v>
      </c>
      <c r="AE343" s="441"/>
    </row>
    <row r="344" spans="1:31" ht="13" x14ac:dyDescent="0.3">
      <c r="A344" s="1059"/>
      <c r="B344" s="486">
        <v>14</v>
      </c>
      <c r="C344" s="486">
        <f>C153</f>
        <v>37</v>
      </c>
      <c r="D344" s="486">
        <f>E153</f>
        <v>-0.8</v>
      </c>
      <c r="E344" s="486" t="str">
        <f>F153</f>
        <v>-</v>
      </c>
      <c r="F344" s="486" t="s">
        <v>243</v>
      </c>
      <c r="G344" s="486">
        <f>G153</f>
        <v>0</v>
      </c>
      <c r="I344" s="1059"/>
      <c r="J344" s="486">
        <v>14</v>
      </c>
      <c r="K344" s="486">
        <f>J153</f>
        <v>80</v>
      </c>
      <c r="L344" s="486">
        <f>L153</f>
        <v>-0.9</v>
      </c>
      <c r="M344" s="486" t="str">
        <f>M153</f>
        <v>-</v>
      </c>
      <c r="N344" s="486" t="s">
        <v>243</v>
      </c>
      <c r="O344" s="486">
        <f>N153</f>
        <v>0</v>
      </c>
      <c r="Q344" s="1059"/>
      <c r="R344" s="486">
        <v>14</v>
      </c>
      <c r="S344" s="486">
        <f>Q153</f>
        <v>1005</v>
      </c>
      <c r="T344" s="486">
        <f>S153</f>
        <v>1.1000000000000001</v>
      </c>
      <c r="U344" s="486" t="str">
        <f>T153</f>
        <v>-</v>
      </c>
      <c r="V344" s="486" t="s">
        <v>243</v>
      </c>
      <c r="W344" s="487">
        <f>U153</f>
        <v>0</v>
      </c>
      <c r="AE344" s="441"/>
    </row>
    <row r="345" spans="1:31" ht="13" x14ac:dyDescent="0.3">
      <c r="A345" s="1059"/>
      <c r="B345" s="486">
        <v>15</v>
      </c>
      <c r="C345" s="486">
        <f>C164</f>
        <v>37</v>
      </c>
      <c r="D345" s="486">
        <f>E164</f>
        <v>-0.1</v>
      </c>
      <c r="E345" s="486" t="str">
        <f>F164</f>
        <v>-</v>
      </c>
      <c r="F345" s="486" t="s">
        <v>243</v>
      </c>
      <c r="G345" s="486">
        <f>G164</f>
        <v>0</v>
      </c>
      <c r="I345" s="1059"/>
      <c r="J345" s="486">
        <v>15</v>
      </c>
      <c r="K345" s="486">
        <f>J164</f>
        <v>80</v>
      </c>
      <c r="L345" s="486">
        <f>L164</f>
        <v>-1.3</v>
      </c>
      <c r="M345" s="486" t="str">
        <f>M164</f>
        <v>-</v>
      </c>
      <c r="N345" s="486" t="s">
        <v>243</v>
      </c>
      <c r="O345" s="486">
        <f>N164</f>
        <v>0</v>
      </c>
      <c r="Q345" s="1059"/>
      <c r="R345" s="486">
        <v>15</v>
      </c>
      <c r="S345" s="486">
        <f>Q164</f>
        <v>1005</v>
      </c>
      <c r="T345" s="486">
        <f>S164</f>
        <v>1.1000000000000001</v>
      </c>
      <c r="U345" s="486" t="str">
        <f>T164</f>
        <v>-</v>
      </c>
      <c r="V345" s="486" t="s">
        <v>243</v>
      </c>
      <c r="W345" s="487">
        <f>U164</f>
        <v>0</v>
      </c>
      <c r="AE345" s="441"/>
    </row>
    <row r="346" spans="1:31" ht="13" x14ac:dyDescent="0.3">
      <c r="A346" s="1059"/>
      <c r="B346" s="486">
        <v>16</v>
      </c>
      <c r="C346" s="486">
        <f>C175</f>
        <v>37</v>
      </c>
      <c r="D346" s="486">
        <f>D175</f>
        <v>9.9999999999999995E-7</v>
      </c>
      <c r="E346" s="486" t="str">
        <f>E175</f>
        <v>-</v>
      </c>
      <c r="F346" s="486">
        <f>F175</f>
        <v>0</v>
      </c>
      <c r="G346" s="486">
        <f>G175</f>
        <v>0</v>
      </c>
      <c r="I346" s="1059"/>
      <c r="J346" s="486">
        <v>16</v>
      </c>
      <c r="K346" s="486">
        <f>J175</f>
        <v>80</v>
      </c>
      <c r="L346" s="486">
        <f>K175</f>
        <v>-2.2999999999999998</v>
      </c>
      <c r="M346" s="486" t="str">
        <f>L175</f>
        <v>-</v>
      </c>
      <c r="N346" s="486">
        <f>M175</f>
        <v>0</v>
      </c>
      <c r="O346" s="486">
        <f>N175</f>
        <v>0</v>
      </c>
      <c r="Q346" s="1059"/>
      <c r="R346" s="486">
        <v>16</v>
      </c>
      <c r="S346" s="486">
        <f>Q175</f>
        <v>1005</v>
      </c>
      <c r="T346" s="486">
        <f>R175</f>
        <v>-0.4</v>
      </c>
      <c r="U346" s="486" t="str">
        <f>S175</f>
        <v>-</v>
      </c>
      <c r="V346" s="486">
        <f>T175</f>
        <v>0</v>
      </c>
      <c r="W346" s="487">
        <f>U175</f>
        <v>0</v>
      </c>
      <c r="AE346" s="441"/>
    </row>
    <row r="347" spans="1:31" ht="13" x14ac:dyDescent="0.3">
      <c r="A347" s="1059"/>
      <c r="B347" s="486">
        <v>17</v>
      </c>
      <c r="C347" s="486">
        <f>C186</f>
        <v>37</v>
      </c>
      <c r="D347" s="486">
        <f>D186</f>
        <v>-0.6</v>
      </c>
      <c r="E347" s="486" t="str">
        <f>E186</f>
        <v>-</v>
      </c>
      <c r="F347" s="486">
        <f>F186</f>
        <v>0</v>
      </c>
      <c r="G347" s="486">
        <f>G186</f>
        <v>0</v>
      </c>
      <c r="I347" s="1059"/>
      <c r="J347" s="486">
        <v>17</v>
      </c>
      <c r="K347" s="486">
        <f>J186</f>
        <v>80</v>
      </c>
      <c r="L347" s="486">
        <f>K186</f>
        <v>-0.8</v>
      </c>
      <c r="M347" s="486" t="str">
        <f>L186</f>
        <v>-</v>
      </c>
      <c r="N347" s="486">
        <f>M186</f>
        <v>0</v>
      </c>
      <c r="O347" s="486">
        <f>N186</f>
        <v>0</v>
      </c>
      <c r="Q347" s="1059"/>
      <c r="R347" s="486">
        <v>17</v>
      </c>
      <c r="S347" s="486">
        <f>Q186</f>
        <v>1005</v>
      </c>
      <c r="T347" s="486">
        <f>R186</f>
        <v>-0.6</v>
      </c>
      <c r="U347" s="486" t="str">
        <f>S186</f>
        <v>-</v>
      </c>
      <c r="V347" s="486">
        <f>T186</f>
        <v>0</v>
      </c>
      <c r="W347" s="487">
        <f>U186</f>
        <v>0</v>
      </c>
      <c r="AE347" s="441"/>
    </row>
    <row r="348" spans="1:31" ht="13" x14ac:dyDescent="0.3">
      <c r="A348" s="1059"/>
      <c r="B348" s="486">
        <v>18</v>
      </c>
      <c r="C348" s="486">
        <f>C197</f>
        <v>37</v>
      </c>
      <c r="D348" s="486">
        <f>D197</f>
        <v>-0.3</v>
      </c>
      <c r="E348" s="486" t="str">
        <f>E197</f>
        <v>-</v>
      </c>
      <c r="F348" s="486">
        <f>F197</f>
        <v>0</v>
      </c>
      <c r="G348" s="486">
        <f>G197</f>
        <v>0</v>
      </c>
      <c r="I348" s="1059"/>
      <c r="J348" s="486">
        <v>18</v>
      </c>
      <c r="K348" s="486">
        <f>J197</f>
        <v>80</v>
      </c>
      <c r="L348" s="486">
        <f>K197</f>
        <v>-0.5</v>
      </c>
      <c r="M348" s="486" t="str">
        <f>L197</f>
        <v>-</v>
      </c>
      <c r="N348" s="486">
        <f>M197</f>
        <v>0</v>
      </c>
      <c r="O348" s="486">
        <f>N197</f>
        <v>0</v>
      </c>
      <c r="Q348" s="1059"/>
      <c r="R348" s="486">
        <v>18</v>
      </c>
      <c r="S348" s="486">
        <f>Q197</f>
        <v>1005</v>
      </c>
      <c r="T348" s="486">
        <f>R197</f>
        <v>-0.7</v>
      </c>
      <c r="U348" s="486" t="str">
        <f>S197</f>
        <v>-</v>
      </c>
      <c r="V348" s="486">
        <f>T197</f>
        <v>0</v>
      </c>
      <c r="W348" s="487">
        <f>U197</f>
        <v>0</v>
      </c>
      <c r="AE348" s="441"/>
    </row>
    <row r="349" spans="1:31" ht="13" x14ac:dyDescent="0.3">
      <c r="A349" s="1059"/>
      <c r="B349" s="486">
        <v>19</v>
      </c>
      <c r="C349" s="486">
        <f>C208</f>
        <v>37</v>
      </c>
      <c r="D349" s="486">
        <f>D208</f>
        <v>9.9999999999999995E-7</v>
      </c>
      <c r="E349" s="486" t="str">
        <f>E208</f>
        <v>-</v>
      </c>
      <c r="F349" s="486">
        <f>F208</f>
        <v>0</v>
      </c>
      <c r="G349" s="486">
        <f>G208</f>
        <v>0</v>
      </c>
      <c r="I349" s="1059"/>
      <c r="J349" s="486">
        <v>19</v>
      </c>
      <c r="K349" s="486">
        <f>J208</f>
        <v>80</v>
      </c>
      <c r="L349" s="486">
        <f>K208</f>
        <v>-0.9</v>
      </c>
      <c r="M349" s="486" t="str">
        <f>L208</f>
        <v>-</v>
      </c>
      <c r="N349" s="486">
        <f>M208</f>
        <v>0</v>
      </c>
      <c r="O349" s="486">
        <f>N208</f>
        <v>0</v>
      </c>
      <c r="Q349" s="1059"/>
      <c r="R349" s="486">
        <v>19</v>
      </c>
      <c r="S349" s="486">
        <f>Q208</f>
        <v>1005</v>
      </c>
      <c r="T349" s="486">
        <f>R208</f>
        <v>2.2000000000000002</v>
      </c>
      <c r="U349" s="486" t="str">
        <f>S208</f>
        <v>-</v>
      </c>
      <c r="V349" s="486">
        <f>T208</f>
        <v>0</v>
      </c>
      <c r="W349" s="487">
        <f>U208</f>
        <v>0</v>
      </c>
      <c r="AE349" s="441"/>
    </row>
    <row r="350" spans="1:31" ht="13.5" thickBot="1" x14ac:dyDescent="0.35">
      <c r="A350" s="1059"/>
      <c r="B350" s="486">
        <v>20</v>
      </c>
      <c r="C350" s="486">
        <f>C219</f>
        <v>39.5</v>
      </c>
      <c r="D350" s="486">
        <f>D219</f>
        <v>9.9999999999999995E-7</v>
      </c>
      <c r="E350" s="486" t="str">
        <f>E219</f>
        <v>-</v>
      </c>
      <c r="F350" s="486">
        <f>F219</f>
        <v>9.9999999999999995E-7</v>
      </c>
      <c r="G350" s="486">
        <f>G219</f>
        <v>0</v>
      </c>
      <c r="I350" s="1059"/>
      <c r="J350" s="486">
        <v>20</v>
      </c>
      <c r="K350" s="486">
        <f>J219</f>
        <v>88.7</v>
      </c>
      <c r="L350" s="486">
        <f>K219</f>
        <v>9.9999999999999995E-7</v>
      </c>
      <c r="M350" s="486" t="str">
        <f>L219</f>
        <v>-</v>
      </c>
      <c r="N350" s="486">
        <f>M219</f>
        <v>0</v>
      </c>
      <c r="O350" s="486">
        <f>N219</f>
        <v>0</v>
      </c>
      <c r="Q350" s="1061"/>
      <c r="R350" s="495">
        <v>20</v>
      </c>
      <c r="S350" s="495">
        <f>Q219</f>
        <v>1005</v>
      </c>
      <c r="T350" s="495" t="str">
        <f>R219</f>
        <v>-</v>
      </c>
      <c r="U350" s="495" t="str">
        <f>S219</f>
        <v>-</v>
      </c>
      <c r="V350" s="495">
        <f>T219</f>
        <v>0</v>
      </c>
      <c r="W350" s="507">
        <f>U219</f>
        <v>0</v>
      </c>
      <c r="AE350" s="498"/>
    </row>
    <row r="351" spans="1:31" ht="13.5" thickBot="1" x14ac:dyDescent="0.35">
      <c r="A351" s="73"/>
      <c r="B351" s="73"/>
      <c r="C351" s="73"/>
      <c r="D351" s="73"/>
      <c r="E351" s="73"/>
      <c r="F351" s="480"/>
      <c r="G351" s="73"/>
      <c r="I351" s="73"/>
      <c r="J351" s="73"/>
      <c r="K351" s="73"/>
      <c r="L351" s="73"/>
      <c r="M351" s="73"/>
      <c r="N351" s="480"/>
      <c r="O351" s="73"/>
      <c r="Q351" s="75"/>
      <c r="R351" s="499"/>
      <c r="S351" s="312"/>
      <c r="T351" s="312"/>
      <c r="U351" s="312"/>
      <c r="W351" s="313"/>
      <c r="AE351" s="441"/>
    </row>
    <row r="352" spans="1:31" ht="13" x14ac:dyDescent="0.3">
      <c r="A352" s="1059">
        <v>7</v>
      </c>
      <c r="B352" s="486">
        <v>1</v>
      </c>
      <c r="C352" s="486">
        <f>C11</f>
        <v>40</v>
      </c>
      <c r="D352" s="486">
        <f>D11</f>
        <v>-0.3</v>
      </c>
      <c r="E352" s="486">
        <f>E11</f>
        <v>-0.8</v>
      </c>
      <c r="F352" s="486">
        <f>F11</f>
        <v>0</v>
      </c>
      <c r="G352" s="486">
        <f>G11</f>
        <v>0.4</v>
      </c>
      <c r="I352" s="1059">
        <v>7</v>
      </c>
      <c r="J352" s="486">
        <v>1</v>
      </c>
      <c r="K352" s="486">
        <f>J11</f>
        <v>90</v>
      </c>
      <c r="L352" s="486">
        <f>K11</f>
        <v>-1.6</v>
      </c>
      <c r="M352" s="486">
        <f>L11</f>
        <v>4.5</v>
      </c>
      <c r="N352" s="486">
        <f>M11</f>
        <v>0</v>
      </c>
      <c r="O352" s="486">
        <f>N11</f>
        <v>3.05</v>
      </c>
      <c r="Q352" s="1065">
        <v>7</v>
      </c>
      <c r="R352" s="502">
        <v>1</v>
      </c>
      <c r="S352" s="502">
        <f>Q11</f>
        <v>1020</v>
      </c>
      <c r="T352" s="502" t="str">
        <f>R11</f>
        <v>-</v>
      </c>
      <c r="U352" s="502" t="str">
        <f>S11</f>
        <v>-</v>
      </c>
      <c r="V352" s="502">
        <f>T11</f>
        <v>0</v>
      </c>
      <c r="W352" s="509">
        <f>U11</f>
        <v>0</v>
      </c>
      <c r="AE352" s="505"/>
    </row>
    <row r="353" spans="1:31" ht="13" x14ac:dyDescent="0.3">
      <c r="A353" s="1059"/>
      <c r="B353" s="486">
        <v>2</v>
      </c>
      <c r="C353" s="486">
        <f>C22</f>
        <v>40</v>
      </c>
      <c r="D353" s="486">
        <f>D22</f>
        <v>-0.1</v>
      </c>
      <c r="E353" s="486">
        <f>E22</f>
        <v>-0.3</v>
      </c>
      <c r="F353" s="486">
        <f>F22</f>
        <v>0</v>
      </c>
      <c r="G353" s="486">
        <f>G22</f>
        <v>9.9999999999999992E-2</v>
      </c>
      <c r="I353" s="1059"/>
      <c r="J353" s="486">
        <v>2</v>
      </c>
      <c r="K353" s="486">
        <f>J22</f>
        <v>90</v>
      </c>
      <c r="L353" s="486">
        <f>K22</f>
        <v>1.7</v>
      </c>
      <c r="M353" s="486">
        <f>L22</f>
        <v>-0.3</v>
      </c>
      <c r="N353" s="486">
        <f>M22</f>
        <v>0</v>
      </c>
      <c r="O353" s="486">
        <f>N22</f>
        <v>1</v>
      </c>
      <c r="Q353" s="1063"/>
      <c r="R353" s="486">
        <v>2</v>
      </c>
      <c r="S353" s="486">
        <f>Q22</f>
        <v>1020</v>
      </c>
      <c r="T353" s="486" t="str">
        <f>R22</f>
        <v>-</v>
      </c>
      <c r="U353" s="486" t="str">
        <f>S22</f>
        <v>-</v>
      </c>
      <c r="V353" s="486">
        <f>T22</f>
        <v>0</v>
      </c>
      <c r="W353" s="487">
        <f>U22</f>
        <v>0</v>
      </c>
      <c r="AE353" s="441"/>
    </row>
    <row r="354" spans="1:31" ht="13" x14ac:dyDescent="0.3">
      <c r="A354" s="1059"/>
      <c r="B354" s="486">
        <v>3</v>
      </c>
      <c r="C354" s="486">
        <f>C33</f>
        <v>40</v>
      </c>
      <c r="D354" s="486">
        <f>D33</f>
        <v>0.2</v>
      </c>
      <c r="E354" s="486">
        <f>E33</f>
        <v>-0.7</v>
      </c>
      <c r="F354" s="486">
        <f>F33</f>
        <v>0</v>
      </c>
      <c r="G354" s="486">
        <f>G33</f>
        <v>0.44999999999999996</v>
      </c>
      <c r="I354" s="1059"/>
      <c r="J354" s="486">
        <v>3</v>
      </c>
      <c r="K354" s="486">
        <f>J33</f>
        <v>90</v>
      </c>
      <c r="L354" s="486">
        <f>K33</f>
        <v>0.3</v>
      </c>
      <c r="M354" s="486">
        <f>L33</f>
        <v>-2</v>
      </c>
      <c r="N354" s="486">
        <f>M33</f>
        <v>0</v>
      </c>
      <c r="O354" s="486">
        <f>N33</f>
        <v>1.1499999999999999</v>
      </c>
      <c r="Q354" s="1063"/>
      <c r="R354" s="486">
        <v>3</v>
      </c>
      <c r="S354" s="486">
        <f>Q33</f>
        <v>1020</v>
      </c>
      <c r="T354" s="486" t="str">
        <f>R33</f>
        <v>-</v>
      </c>
      <c r="U354" s="486" t="str">
        <f>S33</f>
        <v>-</v>
      </c>
      <c r="V354" s="486">
        <f>T33</f>
        <v>0</v>
      </c>
      <c r="W354" s="487">
        <f>U33</f>
        <v>0</v>
      </c>
      <c r="AE354" s="441"/>
    </row>
    <row r="355" spans="1:31" ht="13" x14ac:dyDescent="0.3">
      <c r="A355" s="1059"/>
      <c r="B355" s="486">
        <v>4</v>
      </c>
      <c r="C355" s="486">
        <f>C44</f>
        <v>40</v>
      </c>
      <c r="D355" s="486">
        <f>D44</f>
        <v>-0.5</v>
      </c>
      <c r="E355" s="486">
        <f>E44</f>
        <v>-0.6</v>
      </c>
      <c r="F355" s="486">
        <f>F44</f>
        <v>0</v>
      </c>
      <c r="G355" s="486">
        <f>G44</f>
        <v>4.9999999999999989E-2</v>
      </c>
      <c r="I355" s="1059"/>
      <c r="J355" s="486">
        <v>4</v>
      </c>
      <c r="K355" s="486">
        <f>J44</f>
        <v>90</v>
      </c>
      <c r="L355" s="486">
        <f>K44</f>
        <v>-3.5</v>
      </c>
      <c r="M355" s="486">
        <f>L44</f>
        <v>3.3</v>
      </c>
      <c r="N355" s="486">
        <f>M44</f>
        <v>0</v>
      </c>
      <c r="O355" s="486">
        <f>N44</f>
        <v>3.4</v>
      </c>
      <c r="Q355" s="1063"/>
      <c r="R355" s="486">
        <v>4</v>
      </c>
      <c r="S355" s="486">
        <f>Q44</f>
        <v>1020</v>
      </c>
      <c r="T355" s="486" t="str">
        <f>R44</f>
        <v>-</v>
      </c>
      <c r="U355" s="486" t="str">
        <f>S44</f>
        <v>-</v>
      </c>
      <c r="V355" s="486">
        <f>T44</f>
        <v>0</v>
      </c>
      <c r="W355" s="487">
        <f>U44</f>
        <v>0</v>
      </c>
      <c r="AE355" s="441"/>
    </row>
    <row r="356" spans="1:31" ht="13" x14ac:dyDescent="0.3">
      <c r="A356" s="1059"/>
      <c r="B356" s="486">
        <v>5</v>
      </c>
      <c r="C356" s="486">
        <f>C55</f>
        <v>40</v>
      </c>
      <c r="D356" s="486">
        <f>D55</f>
        <v>0.7</v>
      </c>
      <c r="E356" s="486">
        <f>E55</f>
        <v>-0.1</v>
      </c>
      <c r="F356" s="486">
        <f>F55</f>
        <v>0</v>
      </c>
      <c r="G356" s="486">
        <f>G55</f>
        <v>0.39999999999999997</v>
      </c>
      <c r="I356" s="1059"/>
      <c r="J356" s="486">
        <v>5</v>
      </c>
      <c r="K356" s="486">
        <f>J55</f>
        <v>90</v>
      </c>
      <c r="L356" s="486">
        <f>K55</f>
        <v>-1.8</v>
      </c>
      <c r="M356" s="486">
        <f>L55</f>
        <v>2.7</v>
      </c>
      <c r="N356" s="486">
        <f>M55</f>
        <v>0</v>
      </c>
      <c r="O356" s="486">
        <f>N55</f>
        <v>2.25</v>
      </c>
      <c r="Q356" s="1063"/>
      <c r="R356" s="486">
        <v>5</v>
      </c>
      <c r="S356" s="486">
        <f>Q55</f>
        <v>1020</v>
      </c>
      <c r="T356" s="486" t="str">
        <f>R55</f>
        <v>-</v>
      </c>
      <c r="U356" s="486" t="str">
        <f>S55</f>
        <v>-</v>
      </c>
      <c r="V356" s="486">
        <f>T55</f>
        <v>0</v>
      </c>
      <c r="W356" s="487">
        <f>U55</f>
        <v>0</v>
      </c>
      <c r="AE356" s="441"/>
    </row>
    <row r="357" spans="1:31" ht="13" x14ac:dyDescent="0.3">
      <c r="A357" s="1059"/>
      <c r="B357" s="486">
        <v>6</v>
      </c>
      <c r="C357" s="486">
        <f>C66</f>
        <v>40</v>
      </c>
      <c r="D357" s="486">
        <f>D66</f>
        <v>0.1</v>
      </c>
      <c r="E357" s="486">
        <f>E66</f>
        <v>-1.4</v>
      </c>
      <c r="F357" s="486">
        <f>F66</f>
        <v>0</v>
      </c>
      <c r="G357" s="486">
        <f>G66</f>
        <v>0.75</v>
      </c>
      <c r="I357" s="1059"/>
      <c r="J357" s="486">
        <v>6</v>
      </c>
      <c r="K357" s="486">
        <f>J66</f>
        <v>90</v>
      </c>
      <c r="L357" s="486">
        <f>K66</f>
        <v>-5.2</v>
      </c>
      <c r="M357" s="486">
        <f>L66</f>
        <v>0.7</v>
      </c>
      <c r="N357" s="486">
        <f>M66</f>
        <v>0</v>
      </c>
      <c r="O357" s="486">
        <f>N66</f>
        <v>2.95</v>
      </c>
      <c r="Q357" s="1063"/>
      <c r="R357" s="486">
        <v>6</v>
      </c>
      <c r="S357" s="486">
        <f>Q66</f>
        <v>1020</v>
      </c>
      <c r="T357" s="486">
        <f>R66</f>
        <v>0.9</v>
      </c>
      <c r="U357" s="486">
        <f>S66</f>
        <v>9.9999999999999995E-7</v>
      </c>
      <c r="V357" s="486">
        <f>T66</f>
        <v>0</v>
      </c>
      <c r="W357" s="487">
        <f>U66</f>
        <v>0.4499995</v>
      </c>
      <c r="AE357" s="441"/>
    </row>
    <row r="358" spans="1:31" ht="13" x14ac:dyDescent="0.3">
      <c r="A358" s="1059"/>
      <c r="B358" s="486">
        <v>7</v>
      </c>
      <c r="C358" s="486">
        <f>C77</f>
        <v>40</v>
      </c>
      <c r="D358" s="486">
        <f>D77</f>
        <v>0.1</v>
      </c>
      <c r="E358" s="486">
        <f>E77</f>
        <v>-1.7</v>
      </c>
      <c r="F358" s="486">
        <f>F77</f>
        <v>0</v>
      </c>
      <c r="G358" s="486">
        <f>G77</f>
        <v>0.9</v>
      </c>
      <c r="I358" s="1059"/>
      <c r="J358" s="486">
        <v>7</v>
      </c>
      <c r="K358" s="486">
        <f>J77</f>
        <v>90</v>
      </c>
      <c r="L358" s="486">
        <f>K77</f>
        <v>-3</v>
      </c>
      <c r="M358" s="486">
        <f>L77</f>
        <v>1.8</v>
      </c>
      <c r="N358" s="486">
        <f>M77</f>
        <v>0</v>
      </c>
      <c r="O358" s="486">
        <f>N77</f>
        <v>2.4</v>
      </c>
      <c r="Q358" s="1063"/>
      <c r="R358" s="486">
        <v>7</v>
      </c>
      <c r="S358" s="486">
        <f>Q77</f>
        <v>1020</v>
      </c>
      <c r="T358" s="486">
        <f>R77</f>
        <v>-3.8</v>
      </c>
      <c r="U358" s="486">
        <f>S77</f>
        <v>9.9999999999999995E-7</v>
      </c>
      <c r="V358" s="486">
        <f>T77</f>
        <v>0</v>
      </c>
      <c r="W358" s="487">
        <f>U77</f>
        <v>1.9000005</v>
      </c>
      <c r="AE358" s="441"/>
    </row>
    <row r="359" spans="1:31" ht="13" x14ac:dyDescent="0.3">
      <c r="A359" s="1059"/>
      <c r="B359" s="486">
        <v>8</v>
      </c>
      <c r="C359" s="486">
        <f>C88</f>
        <v>40</v>
      </c>
      <c r="D359" s="486">
        <f>D88</f>
        <v>9.9999999999999995E-7</v>
      </c>
      <c r="E359" s="486">
        <f>E88</f>
        <v>-0.4</v>
      </c>
      <c r="F359" s="486">
        <f>F88</f>
        <v>0</v>
      </c>
      <c r="G359" s="486">
        <f>G88</f>
        <v>0.2000005</v>
      </c>
      <c r="I359" s="1059"/>
      <c r="J359" s="486">
        <v>8</v>
      </c>
      <c r="K359" s="486">
        <f>J88</f>
        <v>90</v>
      </c>
      <c r="L359" s="486">
        <f>K88</f>
        <v>-4.9000000000000004</v>
      </c>
      <c r="M359" s="486">
        <f>L88</f>
        <v>-1.3</v>
      </c>
      <c r="N359" s="486">
        <f>M88</f>
        <v>0</v>
      </c>
      <c r="O359" s="486">
        <f>N88</f>
        <v>1.8000000000000003</v>
      </c>
      <c r="Q359" s="1063"/>
      <c r="R359" s="486">
        <v>8</v>
      </c>
      <c r="S359" s="486">
        <f>Q88</f>
        <v>1020</v>
      </c>
      <c r="T359" s="486">
        <f>R88</f>
        <v>-3.4</v>
      </c>
      <c r="U359" s="486">
        <f>S88</f>
        <v>9.9999999999999995E-7</v>
      </c>
      <c r="V359" s="486">
        <f>T88</f>
        <v>0</v>
      </c>
      <c r="W359" s="487">
        <f>U88</f>
        <v>1.7000005</v>
      </c>
      <c r="AE359" s="441"/>
    </row>
    <row r="360" spans="1:31" ht="13" x14ac:dyDescent="0.3">
      <c r="A360" s="1059"/>
      <c r="B360" s="486">
        <v>9</v>
      </c>
      <c r="C360" s="486">
        <f>C99</f>
        <v>40</v>
      </c>
      <c r="D360" s="486">
        <f>D99</f>
        <v>-0.4</v>
      </c>
      <c r="E360" s="486" t="str">
        <f>E99</f>
        <v>-</v>
      </c>
      <c r="F360" s="486">
        <f>F99</f>
        <v>0</v>
      </c>
      <c r="G360" s="486">
        <f>G99</f>
        <v>0</v>
      </c>
      <c r="I360" s="1059"/>
      <c r="J360" s="486">
        <v>9</v>
      </c>
      <c r="K360" s="486">
        <f>J99</f>
        <v>90</v>
      </c>
      <c r="L360" s="486">
        <f>K99</f>
        <v>-0.2</v>
      </c>
      <c r="M360" s="486" t="str">
        <f>L99</f>
        <v>-</v>
      </c>
      <c r="N360" s="486">
        <f>M99</f>
        <v>0</v>
      </c>
      <c r="O360" s="486">
        <f>N99</f>
        <v>0</v>
      </c>
      <c r="Q360" s="1063"/>
      <c r="R360" s="486">
        <v>9</v>
      </c>
      <c r="S360" s="486">
        <f>Q99</f>
        <v>1020</v>
      </c>
      <c r="T360" s="486">
        <f>R99</f>
        <v>9.9999999999999995E-7</v>
      </c>
      <c r="U360" s="486" t="str">
        <f>S99</f>
        <v>-</v>
      </c>
      <c r="V360" s="486">
        <f>T99</f>
        <v>0</v>
      </c>
      <c r="W360" s="487">
        <f>U99</f>
        <v>0</v>
      </c>
      <c r="AE360" s="441"/>
    </row>
    <row r="361" spans="1:31" ht="13" x14ac:dyDescent="0.3">
      <c r="A361" s="1059"/>
      <c r="B361" s="486">
        <v>10</v>
      </c>
      <c r="C361" s="486">
        <f>C110</f>
        <v>40</v>
      </c>
      <c r="D361" s="486">
        <f>D110</f>
        <v>0.2</v>
      </c>
      <c r="E361" s="486">
        <f>E110</f>
        <v>9.9999999999999995E-7</v>
      </c>
      <c r="F361" s="486">
        <f>F110</f>
        <v>0</v>
      </c>
      <c r="G361" s="486">
        <f>G110</f>
        <v>9.9999500000000005E-2</v>
      </c>
      <c r="I361" s="1059"/>
      <c r="J361" s="486">
        <v>10</v>
      </c>
      <c r="K361" s="486">
        <f>J110</f>
        <v>90</v>
      </c>
      <c r="L361" s="486">
        <f>K110</f>
        <v>5.4</v>
      </c>
      <c r="M361" s="486">
        <f>L110</f>
        <v>9.9999999999999995E-7</v>
      </c>
      <c r="N361" s="486">
        <f>M110</f>
        <v>0</v>
      </c>
      <c r="O361" s="486">
        <f>N110</f>
        <v>2.6999995000000001</v>
      </c>
      <c r="Q361" s="1063"/>
      <c r="R361" s="486">
        <v>10</v>
      </c>
      <c r="S361" s="486">
        <f>Q110</f>
        <v>1020</v>
      </c>
      <c r="T361" s="486" t="str">
        <f>R110</f>
        <v>-</v>
      </c>
      <c r="U361" s="486" t="str">
        <f>S110</f>
        <v>-</v>
      </c>
      <c r="V361" s="486">
        <f>T110</f>
        <v>0</v>
      </c>
      <c r="W361" s="487">
        <f>U110</f>
        <v>0</v>
      </c>
      <c r="AE361" s="441"/>
    </row>
    <row r="362" spans="1:31" ht="13" x14ac:dyDescent="0.3">
      <c r="A362" s="1059"/>
      <c r="B362" s="486">
        <v>11</v>
      </c>
      <c r="C362" s="486">
        <f>C121</f>
        <v>40</v>
      </c>
      <c r="D362" s="486">
        <f>D121</f>
        <v>0.5</v>
      </c>
      <c r="E362" s="486">
        <f>E121</f>
        <v>9.9999999999999995E-7</v>
      </c>
      <c r="F362" s="486">
        <f>F121</f>
        <v>0</v>
      </c>
      <c r="G362" s="486">
        <f>G121</f>
        <v>0.24999950000000001</v>
      </c>
      <c r="I362" s="1059"/>
      <c r="J362" s="486">
        <v>11</v>
      </c>
      <c r="K362" s="486">
        <f>J121</f>
        <v>90</v>
      </c>
      <c r="L362" s="486">
        <f>K121</f>
        <v>1.3</v>
      </c>
      <c r="M362" s="486">
        <f>L121</f>
        <v>9.9999999999999995E-7</v>
      </c>
      <c r="N362" s="486">
        <f>M121</f>
        <v>0</v>
      </c>
      <c r="O362" s="486">
        <f>N121</f>
        <v>0.64999950000000006</v>
      </c>
      <c r="Q362" s="1063"/>
      <c r="R362" s="486">
        <v>11</v>
      </c>
      <c r="S362" s="486">
        <f>Q121</f>
        <v>1020</v>
      </c>
      <c r="T362" s="486" t="str">
        <f>R121</f>
        <v>-</v>
      </c>
      <c r="U362" s="486" t="str">
        <f>S121</f>
        <v>-</v>
      </c>
      <c r="V362" s="486">
        <f>T121</f>
        <v>0</v>
      </c>
      <c r="W362" s="487">
        <f>U121</f>
        <v>0</v>
      </c>
      <c r="AE362" s="441"/>
    </row>
    <row r="363" spans="1:31" ht="13" x14ac:dyDescent="0.3">
      <c r="A363" s="1059"/>
      <c r="B363" s="486">
        <v>12</v>
      </c>
      <c r="C363" s="486">
        <f>C132</f>
        <v>40</v>
      </c>
      <c r="D363" s="486">
        <f>D132</f>
        <v>-0.4</v>
      </c>
      <c r="E363" s="486" t="str">
        <f>E132</f>
        <v>-</v>
      </c>
      <c r="F363" s="486">
        <f>F132</f>
        <v>0</v>
      </c>
      <c r="G363" s="486">
        <f>G132</f>
        <v>0</v>
      </c>
      <c r="I363" s="1059"/>
      <c r="J363" s="486">
        <v>12</v>
      </c>
      <c r="K363" s="486">
        <f>J132</f>
        <v>90</v>
      </c>
      <c r="L363" s="486">
        <f>K132</f>
        <v>-0.9</v>
      </c>
      <c r="M363" s="486" t="str">
        <f>L132</f>
        <v>-</v>
      </c>
      <c r="N363" s="486">
        <f>M132</f>
        <v>0</v>
      </c>
      <c r="O363" s="486">
        <f>N132</f>
        <v>0</v>
      </c>
      <c r="Q363" s="1063"/>
      <c r="R363" s="486">
        <v>12</v>
      </c>
      <c r="S363" s="486">
        <f>Q132</f>
        <v>1020</v>
      </c>
      <c r="T363" s="486">
        <f>R132</f>
        <v>9.9999999999999995E-7</v>
      </c>
      <c r="U363" s="486" t="str">
        <f>S132</f>
        <v>-</v>
      </c>
      <c r="V363" s="486">
        <f>T132</f>
        <v>0</v>
      </c>
      <c r="W363" s="487">
        <f>U132</f>
        <v>0</v>
      </c>
      <c r="AE363" s="441"/>
    </row>
    <row r="364" spans="1:31" ht="13" x14ac:dyDescent="0.3">
      <c r="A364" s="1059"/>
      <c r="B364" s="486">
        <v>13</v>
      </c>
      <c r="C364" s="486">
        <f>C143</f>
        <v>40</v>
      </c>
      <c r="D364" s="486">
        <f>E143</f>
        <v>0.5</v>
      </c>
      <c r="E364" s="486" t="str">
        <f>F143</f>
        <v>-</v>
      </c>
      <c r="F364" s="706" t="s">
        <v>243</v>
      </c>
      <c r="G364" s="486">
        <f>G143</f>
        <v>0</v>
      </c>
      <c r="I364" s="1059"/>
      <c r="J364" s="486">
        <v>13</v>
      </c>
      <c r="K364" s="486">
        <f>J143</f>
        <v>90</v>
      </c>
      <c r="L364" s="486">
        <f>L143</f>
        <v>-3.2</v>
      </c>
      <c r="M364" s="486" t="str">
        <f>M143</f>
        <v>-</v>
      </c>
      <c r="N364" s="706" t="s">
        <v>243</v>
      </c>
      <c r="O364" s="486">
        <f>N143</f>
        <v>0</v>
      </c>
      <c r="Q364" s="1063"/>
      <c r="R364" s="486">
        <v>13</v>
      </c>
      <c r="S364" s="486">
        <f>Q143</f>
        <v>1010</v>
      </c>
      <c r="T364" s="706">
        <f>S143</f>
        <v>1.1000000000000001</v>
      </c>
      <c r="U364" s="706" t="str">
        <f>T143</f>
        <v>-</v>
      </c>
      <c r="V364" s="486" t="s">
        <v>243</v>
      </c>
      <c r="W364" s="487">
        <f>U143</f>
        <v>0</v>
      </c>
      <c r="AE364" s="441"/>
    </row>
    <row r="365" spans="1:31" ht="13" x14ac:dyDescent="0.3">
      <c r="A365" s="1059"/>
      <c r="B365" s="486">
        <v>14</v>
      </c>
      <c r="C365" s="486">
        <f>C154</f>
        <v>40</v>
      </c>
      <c r="D365" s="486">
        <f>E154</f>
        <v>-1.1000000000000001</v>
      </c>
      <c r="E365" s="486" t="str">
        <f>F154</f>
        <v>-</v>
      </c>
      <c r="F365" s="706" t="s">
        <v>243</v>
      </c>
      <c r="G365" s="486">
        <f>G154</f>
        <v>0</v>
      </c>
      <c r="I365" s="1059"/>
      <c r="J365" s="486">
        <v>14</v>
      </c>
      <c r="K365" s="486">
        <f>J154</f>
        <v>90</v>
      </c>
      <c r="L365" s="486">
        <f>L154</f>
        <v>-0.8</v>
      </c>
      <c r="M365" s="486" t="str">
        <f>M154</f>
        <v>-</v>
      </c>
      <c r="N365" s="706" t="s">
        <v>243</v>
      </c>
      <c r="O365" s="486">
        <f>N154</f>
        <v>0</v>
      </c>
      <c r="Q365" s="1063"/>
      <c r="R365" s="486">
        <v>14</v>
      </c>
      <c r="S365" s="486">
        <f>Q154</f>
        <v>1010</v>
      </c>
      <c r="T365" s="486">
        <f>S154</f>
        <v>9.9999999999999995E-7</v>
      </c>
      <c r="U365" s="486" t="str">
        <f>T154</f>
        <v>-</v>
      </c>
      <c r="V365" s="486" t="s">
        <v>243</v>
      </c>
      <c r="W365" s="487">
        <f>U154</f>
        <v>0</v>
      </c>
      <c r="AE365" s="441"/>
    </row>
    <row r="366" spans="1:31" ht="13" x14ac:dyDescent="0.3">
      <c r="A366" s="1059"/>
      <c r="B366" s="486">
        <v>15</v>
      </c>
      <c r="C366" s="486">
        <f>C165</f>
        <v>40</v>
      </c>
      <c r="D366" s="486">
        <f>E165</f>
        <v>9.9999999999999995E-7</v>
      </c>
      <c r="E366" s="486" t="str">
        <f>F165</f>
        <v>-</v>
      </c>
      <c r="F366" s="706" t="s">
        <v>243</v>
      </c>
      <c r="G366" s="486">
        <f>G165</f>
        <v>0</v>
      </c>
      <c r="I366" s="1059"/>
      <c r="J366" s="486">
        <v>15</v>
      </c>
      <c r="K366" s="486">
        <f>J165</f>
        <v>90</v>
      </c>
      <c r="L366" s="486">
        <f>L165</f>
        <v>-2</v>
      </c>
      <c r="M366" s="486" t="str">
        <f>M165</f>
        <v>-</v>
      </c>
      <c r="N366" s="706" t="s">
        <v>243</v>
      </c>
      <c r="O366" s="486">
        <f>N165</f>
        <v>0</v>
      </c>
      <c r="Q366" s="1063"/>
      <c r="R366" s="486">
        <v>15</v>
      </c>
      <c r="S366" s="486">
        <f>Q165</f>
        <v>1010</v>
      </c>
      <c r="T366" s="486">
        <f>S165</f>
        <v>9.9999999999999995E-7</v>
      </c>
      <c r="U366" s="486" t="str">
        <f>T165</f>
        <v>-</v>
      </c>
      <c r="V366" s="486" t="s">
        <v>243</v>
      </c>
      <c r="W366" s="487">
        <f>U165</f>
        <v>0</v>
      </c>
      <c r="AE366" s="441"/>
    </row>
    <row r="367" spans="1:31" ht="13" x14ac:dyDescent="0.3">
      <c r="A367" s="1059"/>
      <c r="B367" s="486">
        <v>16</v>
      </c>
      <c r="C367" s="486">
        <f>C176</f>
        <v>40</v>
      </c>
      <c r="D367" s="486">
        <f>D176</f>
        <v>9.9999999999999995E-7</v>
      </c>
      <c r="E367" s="486" t="str">
        <f>E176</f>
        <v>-</v>
      </c>
      <c r="F367" s="486">
        <f>F176</f>
        <v>0</v>
      </c>
      <c r="G367" s="486">
        <f>G176</f>
        <v>0</v>
      </c>
      <c r="I367" s="1059"/>
      <c r="J367" s="486">
        <v>16</v>
      </c>
      <c r="K367" s="486">
        <f>J176</f>
        <v>90</v>
      </c>
      <c r="L367" s="486">
        <f>K176</f>
        <v>-3</v>
      </c>
      <c r="M367" s="486" t="str">
        <f>L176</f>
        <v>-</v>
      </c>
      <c r="N367" s="486">
        <f>M176</f>
        <v>0</v>
      </c>
      <c r="O367" s="486">
        <f>N176</f>
        <v>0</v>
      </c>
      <c r="Q367" s="1063"/>
      <c r="R367" s="486">
        <v>16</v>
      </c>
      <c r="S367" s="486">
        <f>Q176</f>
        <v>1020</v>
      </c>
      <c r="T367" s="486">
        <f>R176</f>
        <v>9.9999999999999995E-7</v>
      </c>
      <c r="U367" s="486" t="str">
        <f>S176</f>
        <v>-</v>
      </c>
      <c r="V367" s="486">
        <f>T176</f>
        <v>0</v>
      </c>
      <c r="W367" s="487">
        <f>U176</f>
        <v>0</v>
      </c>
      <c r="AE367" s="441"/>
    </row>
    <row r="368" spans="1:31" ht="13" x14ac:dyDescent="0.3">
      <c r="A368" s="1059"/>
      <c r="B368" s="486">
        <v>17</v>
      </c>
      <c r="C368" s="486">
        <f>C187</f>
        <v>40</v>
      </c>
      <c r="D368" s="486">
        <f>D187</f>
        <v>-0.8</v>
      </c>
      <c r="E368" s="486" t="str">
        <f>E187</f>
        <v>-</v>
      </c>
      <c r="F368" s="486">
        <f>F187</f>
        <v>0</v>
      </c>
      <c r="G368" s="486">
        <f>G187</f>
        <v>0</v>
      </c>
      <c r="I368" s="1059"/>
      <c r="J368" s="486">
        <v>17</v>
      </c>
      <c r="K368" s="486">
        <f>J187</f>
        <v>90</v>
      </c>
      <c r="L368" s="486">
        <f>K187</f>
        <v>-1.4</v>
      </c>
      <c r="M368" s="486" t="str">
        <f>L187</f>
        <v>-</v>
      </c>
      <c r="N368" s="486">
        <f>M187</f>
        <v>0</v>
      </c>
      <c r="O368" s="486">
        <f>N187</f>
        <v>0</v>
      </c>
      <c r="Q368" s="1063"/>
      <c r="R368" s="486">
        <v>17</v>
      </c>
      <c r="S368" s="486">
        <f>Q187</f>
        <v>1020</v>
      </c>
      <c r="T368" s="486">
        <f>R187</f>
        <v>9.9999999999999995E-7</v>
      </c>
      <c r="U368" s="486" t="str">
        <f>S187</f>
        <v>-</v>
      </c>
      <c r="V368" s="486">
        <f>T187</f>
        <v>0</v>
      </c>
      <c r="W368" s="487">
        <f>U187</f>
        <v>0</v>
      </c>
      <c r="AE368" s="441"/>
    </row>
    <row r="369" spans="1:36" ht="13" x14ac:dyDescent="0.3">
      <c r="A369" s="1059"/>
      <c r="B369" s="486">
        <v>18</v>
      </c>
      <c r="C369" s="486">
        <f>C198</f>
        <v>40</v>
      </c>
      <c r="D369" s="486">
        <f>D198</f>
        <v>-0.4</v>
      </c>
      <c r="E369" s="486" t="str">
        <f>E198</f>
        <v>-</v>
      </c>
      <c r="F369" s="486">
        <f>F198</f>
        <v>0</v>
      </c>
      <c r="G369" s="486">
        <f>G198</f>
        <v>0</v>
      </c>
      <c r="I369" s="1059"/>
      <c r="J369" s="486">
        <v>18</v>
      </c>
      <c r="K369" s="486">
        <f>J198</f>
        <v>90</v>
      </c>
      <c r="L369" s="486">
        <f>K198</f>
        <v>-0.8</v>
      </c>
      <c r="M369" s="486" t="str">
        <f>L198</f>
        <v>-</v>
      </c>
      <c r="N369" s="486">
        <f>M198</f>
        <v>0</v>
      </c>
      <c r="O369" s="486">
        <f>N198</f>
        <v>0</v>
      </c>
      <c r="Q369" s="1063"/>
      <c r="R369" s="486">
        <v>18</v>
      </c>
      <c r="S369" s="486">
        <f>Q198</f>
        <v>1020</v>
      </c>
      <c r="T369" s="486">
        <f>R198</f>
        <v>9.9999999999999995E-7</v>
      </c>
      <c r="U369" s="486" t="str">
        <f>S198</f>
        <v>-</v>
      </c>
      <c r="V369" s="486">
        <f>T198</f>
        <v>0</v>
      </c>
      <c r="W369" s="487">
        <f>U198</f>
        <v>0</v>
      </c>
      <c r="AE369" s="441"/>
    </row>
    <row r="370" spans="1:36" ht="13" x14ac:dyDescent="0.3">
      <c r="A370" s="1059"/>
      <c r="B370" s="486">
        <v>19</v>
      </c>
      <c r="C370" s="486">
        <f>C209</f>
        <v>40</v>
      </c>
      <c r="D370" s="486">
        <f>D209</f>
        <v>0.2</v>
      </c>
      <c r="E370" s="486" t="str">
        <f>E209</f>
        <v>-</v>
      </c>
      <c r="F370" s="486">
        <f>F209</f>
        <v>0</v>
      </c>
      <c r="G370" s="486">
        <f>G209</f>
        <v>0</v>
      </c>
      <c r="I370" s="1059"/>
      <c r="J370" s="486">
        <v>19</v>
      </c>
      <c r="K370" s="486">
        <f>J209</f>
        <v>90</v>
      </c>
      <c r="L370" s="486">
        <f>K209</f>
        <v>-0.6</v>
      </c>
      <c r="M370" s="486" t="str">
        <f>L209</f>
        <v>-</v>
      </c>
      <c r="N370" s="486">
        <f>M209</f>
        <v>0</v>
      </c>
      <c r="O370" s="486">
        <f>N209</f>
        <v>0</v>
      </c>
      <c r="Q370" s="1063"/>
      <c r="R370" s="486">
        <v>19</v>
      </c>
      <c r="S370" s="486">
        <f>Q209</f>
        <v>1020</v>
      </c>
      <c r="T370" s="486">
        <f>R209</f>
        <v>2.2999999999999998</v>
      </c>
      <c r="U370" s="486" t="str">
        <f>S209</f>
        <v>-</v>
      </c>
      <c r="V370" s="486">
        <f>T209</f>
        <v>0</v>
      </c>
      <c r="W370" s="487">
        <f>U209</f>
        <v>0</v>
      </c>
      <c r="AE370" s="441"/>
    </row>
    <row r="371" spans="1:36" ht="13.5" thickBot="1" x14ac:dyDescent="0.35">
      <c r="A371" s="1059"/>
      <c r="B371" s="486">
        <v>20</v>
      </c>
      <c r="C371" s="486">
        <f>C220</f>
        <v>40</v>
      </c>
      <c r="D371" s="486">
        <f>D220</f>
        <v>9.9999999999999995E-7</v>
      </c>
      <c r="E371" s="486" t="str">
        <f>E220</f>
        <v>-</v>
      </c>
      <c r="F371" s="486">
        <f>F220</f>
        <v>9.9999999999999995E-7</v>
      </c>
      <c r="G371" s="486">
        <f>G220</f>
        <v>0</v>
      </c>
      <c r="I371" s="1059"/>
      <c r="J371" s="486">
        <v>20</v>
      </c>
      <c r="K371" s="486">
        <f>J220</f>
        <v>90</v>
      </c>
      <c r="L371" s="486">
        <f>K220</f>
        <v>9.9999999999999995E-7</v>
      </c>
      <c r="M371" s="486" t="str">
        <f>L220</f>
        <v>-</v>
      </c>
      <c r="N371" s="486">
        <f>M220</f>
        <v>0</v>
      </c>
      <c r="O371" s="486">
        <f>N220</f>
        <v>0</v>
      </c>
      <c r="Q371" s="1064"/>
      <c r="R371" s="495">
        <v>20</v>
      </c>
      <c r="S371" s="495">
        <f>Q220</f>
        <v>1020</v>
      </c>
      <c r="T371" s="495" t="str">
        <f>R220</f>
        <v>-</v>
      </c>
      <c r="U371" s="495" t="str">
        <f>S220</f>
        <v>-</v>
      </c>
      <c r="V371" s="495">
        <f>T220</f>
        <v>0</v>
      </c>
      <c r="W371" s="507">
        <f>U220</f>
        <v>0</v>
      </c>
      <c r="AE371" s="498"/>
    </row>
    <row r="372" spans="1:36" ht="13.5" thickBot="1" x14ac:dyDescent="0.35">
      <c r="A372" s="511"/>
      <c r="B372" s="13"/>
      <c r="C372" s="431"/>
      <c r="D372" s="431"/>
      <c r="E372" s="431"/>
      <c r="F372" s="431"/>
      <c r="G372" s="431"/>
      <c r="H372" s="441"/>
      <c r="I372" s="448"/>
      <c r="J372" s="13"/>
      <c r="K372" s="431"/>
      <c r="L372" s="431"/>
      <c r="M372" s="431"/>
      <c r="N372" s="431"/>
      <c r="O372" s="431"/>
      <c r="P372" s="441"/>
    </row>
    <row r="373" spans="1:36" ht="29.25" customHeight="1" x14ac:dyDescent="0.25">
      <c r="A373" s="298">
        <f>A410</f>
        <v>16</v>
      </c>
      <c r="B373" s="1066" t="str">
        <f>A389</f>
        <v>Thermohygrobarometer, Merek : EXTECH, Model : SD700, SN : A.100616</v>
      </c>
      <c r="C373" s="1066"/>
      <c r="D373" s="1066"/>
      <c r="E373" s="1066"/>
      <c r="G373" s="298">
        <f>A373</f>
        <v>16</v>
      </c>
      <c r="H373" s="1066" t="str">
        <f>B373</f>
        <v>Thermohygrobarometer, Merek : EXTECH, Model : SD700, SN : A.100616</v>
      </c>
      <c r="I373" s="1066"/>
      <c r="J373" s="1066"/>
      <c r="K373" s="1066"/>
      <c r="M373" s="298">
        <f>G373</f>
        <v>16</v>
      </c>
      <c r="N373" s="1066" t="str">
        <f>H373</f>
        <v>Thermohygrobarometer, Merek : EXTECH, Model : SD700, SN : A.100616</v>
      </c>
      <c r="O373" s="1066"/>
      <c r="P373" s="1066"/>
      <c r="Q373" s="1066"/>
      <c r="S373" s="298">
        <f>A373</f>
        <v>16</v>
      </c>
      <c r="T373" s="1067" t="str">
        <f>H373</f>
        <v>Thermohygrobarometer, Merek : EXTECH, Model : SD700, SN : A.100616</v>
      </c>
      <c r="U373" s="1067"/>
      <c r="V373" s="1067"/>
      <c r="W373" s="1067"/>
      <c r="Z373" s="512"/>
      <c r="AE373" s="434"/>
    </row>
    <row r="374" spans="1:36" ht="13.5" x14ac:dyDescent="0.3">
      <c r="A374" s="444" t="s">
        <v>270</v>
      </c>
      <c r="B374" s="1068" t="s">
        <v>271</v>
      </c>
      <c r="C374" s="1068"/>
      <c r="D374" s="1068"/>
      <c r="E374" s="1068" t="s">
        <v>272</v>
      </c>
      <c r="G374" s="444" t="s">
        <v>273</v>
      </c>
      <c r="H374" s="1068" t="s">
        <v>271</v>
      </c>
      <c r="I374" s="1068"/>
      <c r="J374" s="1068"/>
      <c r="K374" s="1068" t="s">
        <v>272</v>
      </c>
      <c r="M374" s="444" t="s">
        <v>274</v>
      </c>
      <c r="N374" s="1068" t="s">
        <v>271</v>
      </c>
      <c r="O374" s="1068"/>
      <c r="P374" s="1068"/>
      <c r="Q374" s="1068" t="s">
        <v>272</v>
      </c>
      <c r="S374" s="1070"/>
      <c r="T374" s="1070" t="s">
        <v>299</v>
      </c>
      <c r="U374" s="1070" t="s">
        <v>300</v>
      </c>
      <c r="V374" s="1070" t="s">
        <v>301</v>
      </c>
      <c r="W374" s="1071" t="s">
        <v>222</v>
      </c>
      <c r="Z374" s="431"/>
    </row>
    <row r="375" spans="1:36" ht="14" x14ac:dyDescent="0.3">
      <c r="A375" s="439" t="s">
        <v>298</v>
      </c>
      <c r="B375" s="444">
        <f>VLOOKUP(B373,A390:L409,9,FALSE)</f>
        <v>2020</v>
      </c>
      <c r="C375" s="444" t="str">
        <f>VLOOKUP(B373,A390:L409,10,FALSE)</f>
        <v>-</v>
      </c>
      <c r="D375" s="444">
        <f>VLOOKUP(B373,A390:L409,11,FALSE)</f>
        <v>2016</v>
      </c>
      <c r="E375" s="1068"/>
      <c r="G375" s="513" t="s">
        <v>276</v>
      </c>
      <c r="H375" s="444">
        <f>B375</f>
        <v>2020</v>
      </c>
      <c r="I375" s="444" t="str">
        <f>C375</f>
        <v>-</v>
      </c>
      <c r="J375" s="444">
        <f>D375</f>
        <v>2016</v>
      </c>
      <c r="K375" s="1068"/>
      <c r="M375" s="513" t="s">
        <v>277</v>
      </c>
      <c r="N375" s="444">
        <f>H375</f>
        <v>2020</v>
      </c>
      <c r="O375" s="444" t="str">
        <f>I375</f>
        <v>-</v>
      </c>
      <c r="P375" s="444">
        <f>J375</f>
        <v>2016</v>
      </c>
      <c r="Q375" s="1068"/>
      <c r="S375" s="1070"/>
      <c r="T375" s="1070"/>
      <c r="U375" s="1070"/>
      <c r="V375" s="1070"/>
      <c r="W375" s="1071"/>
      <c r="Z375" s="431"/>
    </row>
    <row r="376" spans="1:36" ht="13" x14ac:dyDescent="0.3">
      <c r="A376" s="73">
        <f>VLOOKUP($A$373,$B$226:$G$245,2,FALSE)</f>
        <v>15</v>
      </c>
      <c r="B376" s="73">
        <f>VLOOKUP($A$373,$B$226:$G$245,3,FALSE)</f>
        <v>0.1</v>
      </c>
      <c r="C376" s="73" t="str">
        <f>VLOOKUP($A$373,$B$226:$G$245,4,FALSE)</f>
        <v>-</v>
      </c>
      <c r="D376" s="73">
        <f>VLOOKUP($A$373,$B$226:$G$245,5,FALSE)</f>
        <v>0</v>
      </c>
      <c r="E376" s="73">
        <f>VLOOKUP($A$373,$B$226:$G$245,6,FALSE)</f>
        <v>0</v>
      </c>
      <c r="G376" s="73">
        <f>VLOOKUP($G$373,$J$226:$O$245,2,FALSE)</f>
        <v>30</v>
      </c>
      <c r="H376" s="73">
        <f>VLOOKUP($G$373,$J$226:$O$245,3,FALSE)</f>
        <v>-1.6</v>
      </c>
      <c r="I376" s="73" t="str">
        <f>VLOOKUP($G$373,$J$226:$O$245,4,FALSE)</f>
        <v>-</v>
      </c>
      <c r="J376" s="73">
        <f>VLOOKUP($G$373,$J$226:$O$245,5,FALSE)</f>
        <v>0</v>
      </c>
      <c r="K376" s="73">
        <f>VLOOKUP($G$373,$J$226:$O$245,6,FALSE)</f>
        <v>0</v>
      </c>
      <c r="M376" s="73">
        <f>VLOOKUP($M$373,$R$226:$W$245,2,FALSE)</f>
        <v>800</v>
      </c>
      <c r="N376" s="73">
        <f>VLOOKUP($M$373,$R$226:$W$245,3,FALSE)</f>
        <v>-2.9</v>
      </c>
      <c r="O376" s="73" t="str">
        <f>VLOOKUP($M$373,$R$226:$W$245,4,FALSE)</f>
        <v>-</v>
      </c>
      <c r="P376" s="73">
        <f>VLOOKUP($M$373,$R$226:$W$245,5,FALSE)</f>
        <v>0</v>
      </c>
      <c r="Q376" s="73">
        <f>VLOOKUP($M$373,$R$226:$W$245,6,FALSE)</f>
        <v>0</v>
      </c>
      <c r="S376" s="1070"/>
      <c r="T376" s="1070"/>
      <c r="U376" s="1070"/>
      <c r="V376" s="1070"/>
      <c r="W376" s="1071"/>
      <c r="Z376" s="431"/>
    </row>
    <row r="377" spans="1:36" ht="13" x14ac:dyDescent="0.3">
      <c r="A377" s="73">
        <f>VLOOKUP($A$373,$B$247:$G$266,2,FALSE)</f>
        <v>20</v>
      </c>
      <c r="B377" s="73">
        <f>VLOOKUP($A$373,$B$247:$G$266,3,FALSE)</f>
        <v>0.2</v>
      </c>
      <c r="C377" s="73" t="str">
        <f>VLOOKUP($A$373,$B$247:$G$266,4,FALSE)</f>
        <v>-</v>
      </c>
      <c r="D377" s="73">
        <f>VLOOKUP($A$373,$B$247:$G$266,5,FALSE)</f>
        <v>0</v>
      </c>
      <c r="E377" s="73">
        <f>VLOOKUP($A$373,$B$247:$G$266,6,FALSE)</f>
        <v>0</v>
      </c>
      <c r="G377" s="73">
        <f>VLOOKUP($G$373,$J$247:$O$266,2,FALSE)</f>
        <v>40</v>
      </c>
      <c r="H377" s="73">
        <f>VLOOKUP($G$373,$J$247:$O$266,3,FALSE)</f>
        <v>-1.4</v>
      </c>
      <c r="I377" s="73" t="str">
        <f>VLOOKUP($G$373,$J$247:$O$266,4,FALSE)</f>
        <v>-</v>
      </c>
      <c r="J377" s="73">
        <f>VLOOKUP($G$373,$J$247:$O$266,5,FALSE)</f>
        <v>0</v>
      </c>
      <c r="K377" s="73">
        <f>VLOOKUP($G$373,$J$247:$O$266,6,FALSE)</f>
        <v>0</v>
      </c>
      <c r="M377" s="73">
        <f>VLOOKUP($M$373,$R$247:$W$266,2,FALSE)</f>
        <v>850</v>
      </c>
      <c r="N377" s="73">
        <f>VLOOKUP($M$373,$R$247:$W$266,3,FALSE)</f>
        <v>-2.2999999999999998</v>
      </c>
      <c r="O377" s="73" t="str">
        <f>VLOOKUP($M$373,$R$247:$W$266,4,FALSE)</f>
        <v>-</v>
      </c>
      <c r="P377" s="73">
        <f>VLOOKUP($M$373,$R$247:$W$266,5,FALSE)</f>
        <v>0</v>
      </c>
      <c r="Q377" s="73">
        <f>VLOOKUP($M$373,$R$247:$W$266,6,FALSE)</f>
        <v>0</v>
      </c>
      <c r="S377" s="311" t="s">
        <v>270</v>
      </c>
      <c r="T377" s="514">
        <f>AVERAGE(ID!E16:F16)</f>
        <v>18.2</v>
      </c>
      <c r="U377" s="311">
        <f>T377+S386</f>
        <v>18.37815748917869</v>
      </c>
      <c r="V377" s="514">
        <f>STDEV(ID!E16:F16)</f>
        <v>0.28284271247461801</v>
      </c>
      <c r="W377" s="515">
        <f>VLOOKUP(S373,Y225:Z244,2,(FALSE))</f>
        <v>0.4</v>
      </c>
      <c r="Z377" s="431"/>
    </row>
    <row r="378" spans="1:36" ht="13" x14ac:dyDescent="0.3">
      <c r="A378" s="73">
        <f>VLOOKUP($A$373,$B$268:$G$287,2,FALSE)</f>
        <v>25</v>
      </c>
      <c r="B378" s="73">
        <f>VLOOKUP($A$373,$B$268:$G$287,3,FALSE)</f>
        <v>0.2</v>
      </c>
      <c r="C378" s="73" t="str">
        <f>VLOOKUP($A$373,$B$268:$G$287,4,FALSE)</f>
        <v>-</v>
      </c>
      <c r="D378" s="73">
        <f>VLOOKUP($A$373,$B$268:$G$287,5,FALSE)</f>
        <v>0</v>
      </c>
      <c r="E378" s="73">
        <f>VLOOKUP($A$373,$B$268:$G$287,6,FALSE)</f>
        <v>0</v>
      </c>
      <c r="G378" s="73">
        <f>VLOOKUP($G$373,$J$268:$O$287,2,FALSE)</f>
        <v>50</v>
      </c>
      <c r="H378" s="73">
        <f>VLOOKUP($G$373,$J$268:$O$287,3,FALSE)</f>
        <v>-1.4</v>
      </c>
      <c r="I378" s="73" t="str">
        <f>VLOOKUP($G$373,$J$268:$O$287,4,FALSE)</f>
        <v>-</v>
      </c>
      <c r="J378" s="73">
        <f>VLOOKUP($G$373,$J$268:$O$287,5,FALSE)</f>
        <v>0</v>
      </c>
      <c r="K378" s="73">
        <f>VLOOKUP($G$373,$J$268:$O$287,6,FALSE)</f>
        <v>0</v>
      </c>
      <c r="M378" s="73">
        <f>VLOOKUP($M$373,$R$268:$W$287,2,FALSE)</f>
        <v>900</v>
      </c>
      <c r="N378" s="73">
        <f>VLOOKUP($M$373,$R$268:$W$287,3,FALSE)</f>
        <v>-1.7</v>
      </c>
      <c r="O378" s="73" t="str">
        <f>VLOOKUP($M$373,$R$268:$W$287,4,FALSE)</f>
        <v>-</v>
      </c>
      <c r="P378" s="73">
        <f>VLOOKUP($M$373,$R$268:$W$287,5,FALSE)</f>
        <v>0</v>
      </c>
      <c r="Q378" s="73">
        <f>VLOOKUP($M$373,$R$268:$W$287,6,FALSE)</f>
        <v>0</v>
      </c>
      <c r="S378" s="311" t="s">
        <v>276</v>
      </c>
      <c r="T378" s="514">
        <f>AVERAGE(ID!E17:F17)</f>
        <v>62</v>
      </c>
      <c r="U378" s="311">
        <f>T378+T386</f>
        <v>60.097142857142856</v>
      </c>
      <c r="V378" s="514">
        <f>STDEV(ID!E17:F17)</f>
        <v>1.4142135623730951</v>
      </c>
      <c r="W378" s="515">
        <f>VLOOKUP(S373,Y249:Z268,2,(FALSE))</f>
        <v>2.2000000000000002</v>
      </c>
      <c r="Z378" s="431"/>
    </row>
    <row r="379" spans="1:36" ht="13" x14ac:dyDescent="0.3">
      <c r="A379" s="73">
        <f>VLOOKUP($A$373,$B$289:$G$308,2,FALSE)</f>
        <v>30</v>
      </c>
      <c r="B379" s="73">
        <f>VLOOKUP($A$373,$B$289:$G$308,3,FALSE)</f>
        <v>0.2</v>
      </c>
      <c r="C379" s="73" t="str">
        <f>VLOOKUP($A$373,$B$289:$G$308,4,FALSE)</f>
        <v>-</v>
      </c>
      <c r="D379" s="73">
        <f>VLOOKUP($A$373,$B$289:$G$308,5,FALSE)</f>
        <v>0</v>
      </c>
      <c r="E379" s="73">
        <f>VLOOKUP($A$373,$B$289:$G$308,6,FALSE)</f>
        <v>0</v>
      </c>
      <c r="G379" s="73">
        <f>VLOOKUP($G$373,$J$289:$O$308,2,FALSE)</f>
        <v>60</v>
      </c>
      <c r="H379" s="73">
        <f>VLOOKUP($G$373,$J$289:$O$308,3,FALSE)</f>
        <v>-1.5</v>
      </c>
      <c r="I379" s="73" t="str">
        <f>VLOOKUP($G$373,$J$289:$O$308,4,FALSE)</f>
        <v>-</v>
      </c>
      <c r="J379" s="73">
        <f>VLOOKUP($G$373,$J$289:$O$308,5,FALSE)</f>
        <v>0</v>
      </c>
      <c r="K379" s="73">
        <f>VLOOKUP($G$373,$J$289:$O$308,6,FALSE)</f>
        <v>0</v>
      </c>
      <c r="M379" s="73">
        <f>VLOOKUP($M$373,$R$289:$W$308,2,FALSE)</f>
        <v>950</v>
      </c>
      <c r="N379" s="73">
        <f>VLOOKUP($M$373,$R$289:$W$308,3,FALSE)</f>
        <v>-1.1000000000000001</v>
      </c>
      <c r="O379" s="73" t="str">
        <f>VLOOKUP($M$373,$R$289:$W$308,4,FALSE)</f>
        <v>-</v>
      </c>
      <c r="P379" s="73">
        <f>VLOOKUP($M$373,$R$289:$W$308,5,FALSE)</f>
        <v>0</v>
      </c>
      <c r="Q379" s="73">
        <f>VLOOKUP($M$373,$R$289:$W$308,6,FALSE)</f>
        <v>0</v>
      </c>
      <c r="S379" s="126" t="s">
        <v>277</v>
      </c>
      <c r="T379" s="36"/>
      <c r="U379" s="112"/>
      <c r="V379" s="36"/>
      <c r="W379" s="515">
        <f>VLOOKUP(S373,Y273:Z292,2,(FALSE))</f>
        <v>2.2999999999999998</v>
      </c>
      <c r="Z379" s="431"/>
      <c r="AE379" s="516"/>
    </row>
    <row r="380" spans="1:36" ht="13.5" thickBot="1" x14ac:dyDescent="0.35">
      <c r="A380" s="73">
        <f>VLOOKUP($A$373,$B$310:$G$329,2,FALSE)</f>
        <v>35</v>
      </c>
      <c r="B380" s="73">
        <f>VLOOKUP($A$373,$B$310:$G$329,3,FALSE)</f>
        <v>0.1</v>
      </c>
      <c r="C380" s="73" t="str">
        <f>VLOOKUP($A$373,$B$310:$G$329,4,FALSE)</f>
        <v>-</v>
      </c>
      <c r="D380" s="73">
        <f>VLOOKUP($A$373,$B$310:$G$329,5,FALSE)</f>
        <v>0</v>
      </c>
      <c r="E380" s="73">
        <f>VLOOKUP($A$373,$B$310:$G$329,6,FALSE)</f>
        <v>0</v>
      </c>
      <c r="G380" s="73">
        <f>VLOOKUP($G$373,$J$310:$O$329,2,FALSE)</f>
        <v>70</v>
      </c>
      <c r="H380" s="73">
        <f>VLOOKUP($G$373,$J$310:$O$329,3,FALSE)</f>
        <v>-1.8</v>
      </c>
      <c r="I380" s="73" t="str">
        <f>VLOOKUP($G$373,$J$310:$O$329,4,FALSE)</f>
        <v>-</v>
      </c>
      <c r="J380" s="73">
        <f>VLOOKUP($G$373,$J$310:$O$329,5,FALSE)</f>
        <v>0</v>
      </c>
      <c r="K380" s="73">
        <f>VLOOKUP($G$373,$J$310:$O$329,6,FALSE)</f>
        <v>0</v>
      </c>
      <c r="M380" s="73">
        <f>VLOOKUP($M$373,$R$310:$W$329,2,FALSE)</f>
        <v>1000</v>
      </c>
      <c r="N380" s="73">
        <f>VLOOKUP($M$373,$R$310:$W$329,3,FALSE)</f>
        <v>-0.4</v>
      </c>
      <c r="O380" s="73" t="str">
        <f>VLOOKUP($M$373,$R$310:$W$329,4,FALSE)</f>
        <v>-</v>
      </c>
      <c r="P380" s="73">
        <f>VLOOKUP($M$373,$R$310:$W$329,5,FALSE)</f>
        <v>0</v>
      </c>
      <c r="Q380" s="73">
        <f>VLOOKUP($M$373,$R$310:$W$329,6,FALSE)</f>
        <v>0</v>
      </c>
      <c r="Z380" s="431"/>
      <c r="AE380" s="517"/>
    </row>
    <row r="381" spans="1:36" ht="14" x14ac:dyDescent="0.3">
      <c r="A381" s="73">
        <f>VLOOKUP($A$373,$B$331:$G$350,2,FALSE)</f>
        <v>37</v>
      </c>
      <c r="B381" s="73">
        <f>VLOOKUP($A$373,$B$331:$G$350,3,FALSE)</f>
        <v>9.9999999999999995E-7</v>
      </c>
      <c r="C381" s="73" t="str">
        <f>VLOOKUP($A$373,$B$331:$G$350,4,FALSE)</f>
        <v>-</v>
      </c>
      <c r="D381" s="73">
        <f>VLOOKUP($A$373,$B$331:$G$350,5,FALSE)</f>
        <v>0</v>
      </c>
      <c r="E381" s="73">
        <f>VLOOKUP($A$373,$B$331:$G$350,6,FALSE)</f>
        <v>0</v>
      </c>
      <c r="G381" s="73">
        <f>VLOOKUP($G$373,$J$331:$O$350,2,FALSE)</f>
        <v>80</v>
      </c>
      <c r="H381" s="73">
        <f>VLOOKUP($G$373,$J$331:$O$350,3,FALSE)</f>
        <v>-2.2999999999999998</v>
      </c>
      <c r="I381" s="73" t="str">
        <f>VLOOKUP($G$373,$J$331:$O$350,4,FALSE)</f>
        <v>-</v>
      </c>
      <c r="J381" s="73">
        <f>VLOOKUP($G$373,$J$331:$O$350,5,FALSE)</f>
        <v>0</v>
      </c>
      <c r="K381" s="73">
        <f>VLOOKUP($G$373,$J$331:$O$350,6,FALSE)</f>
        <v>0</v>
      </c>
      <c r="M381" s="73">
        <f>VLOOKUP($M$373,$R$331:$W$350,2,FALSE)</f>
        <v>1005</v>
      </c>
      <c r="N381" s="73">
        <f>VLOOKUP($M$373,$R$331:$W$350,3,FALSE)</f>
        <v>-0.4</v>
      </c>
      <c r="O381" s="73" t="str">
        <f>VLOOKUP($M$373,$R$331:$W$350,4,FALSE)</f>
        <v>-</v>
      </c>
      <c r="P381" s="73">
        <f>VLOOKUP($M$373,$R$331:$W$350,5,FALSE)</f>
        <v>0</v>
      </c>
      <c r="Q381" s="73">
        <f>VLOOKUP($M$373,$R$331:$W$350,6,FALSE)</f>
        <v>0</v>
      </c>
      <c r="S381" s="1072" t="s">
        <v>302</v>
      </c>
      <c r="T381" s="518" t="str">
        <f>N393&amp;N390&amp;O393&amp;O390&amp;P393&amp;P390</f>
        <v>( 18.4 ± 0.4 ) °C</v>
      </c>
      <c r="U381" s="519"/>
      <c r="Z381" s="431"/>
      <c r="AE381" s="520"/>
    </row>
    <row r="382" spans="1:36" ht="14" x14ac:dyDescent="0.3">
      <c r="A382" s="73">
        <f>VLOOKUP($A$373,$B$352:$G$371,2,FALSE)</f>
        <v>40</v>
      </c>
      <c r="B382" s="73">
        <f>VLOOKUP($A$373,$B$352:$G$371,3,FALSE)</f>
        <v>9.9999999999999995E-7</v>
      </c>
      <c r="C382" s="73" t="str">
        <f>VLOOKUP($A$373,$B$352:$G$371,4,FALSE)</f>
        <v>-</v>
      </c>
      <c r="D382" s="73">
        <f>VLOOKUP($A$373,$B$352:$G$371,5,FALSE)</f>
        <v>0</v>
      </c>
      <c r="E382" s="73">
        <f>VLOOKUP($A$373,$B$352:$G$371,6,FALSE)</f>
        <v>0</v>
      </c>
      <c r="G382" s="73">
        <f>VLOOKUP($G$373,$J$352:$O$371,2,FALSE)</f>
        <v>90</v>
      </c>
      <c r="H382" s="73">
        <f>VLOOKUP($G$373,$J$352:$O$371,3,FALSE)</f>
        <v>-3</v>
      </c>
      <c r="I382" s="73" t="str">
        <f>VLOOKUP($G$373,$J$352:$O$371,4,FALSE)</f>
        <v>-</v>
      </c>
      <c r="J382" s="73">
        <f>VLOOKUP($G$373,$J$352:$O$371,5,FALSE)</f>
        <v>0</v>
      </c>
      <c r="K382" s="73">
        <f>VLOOKUP($G$373,$J$352:$O$371,6,FALSE)</f>
        <v>0</v>
      </c>
      <c r="M382" s="73">
        <f>VLOOKUP($M$373,$R$352:$W$371,2,FALSE)</f>
        <v>1020</v>
      </c>
      <c r="N382" s="73">
        <f>VLOOKUP($M$373,$R$352:$W$371,3,FALSE)</f>
        <v>9.9999999999999995E-7</v>
      </c>
      <c r="O382" s="73" t="str">
        <f>VLOOKUP($M$373,$R$352:$W$371,4,FALSE)</f>
        <v>-</v>
      </c>
      <c r="P382" s="73">
        <f>VLOOKUP($M$373,$R$352:$W$371,5,FALSE)</f>
        <v>0</v>
      </c>
      <c r="Q382" s="73">
        <f>VLOOKUP($M$373,$R$352:$W$371,6,FALSE)</f>
        <v>0</v>
      </c>
      <c r="S382" s="1073"/>
      <c r="T382" s="462" t="str">
        <f>N393&amp;N391&amp;O393&amp;O391&amp;P393&amp;P391</f>
        <v>( 60.1 ± 2.2 ) %RH</v>
      </c>
      <c r="U382" s="521"/>
      <c r="Z382" s="431"/>
      <c r="AE382" s="520"/>
    </row>
    <row r="383" spans="1:36" ht="14.5" thickBot="1" x14ac:dyDescent="0.35">
      <c r="A383" s="445"/>
      <c r="B383" s="431"/>
      <c r="C383" s="431"/>
      <c r="D383" s="431"/>
      <c r="E383" s="431"/>
      <c r="G383" s="431"/>
      <c r="H383" s="431"/>
      <c r="I383" s="431"/>
      <c r="J383" s="431"/>
      <c r="M383" s="431"/>
      <c r="N383" s="431"/>
      <c r="O383" s="431"/>
      <c r="P383" s="431"/>
      <c r="S383" s="1074"/>
      <c r="T383" s="522" t="str">
        <f>N393&amp;N392&amp;O393&amp;O392&amp;P393&amp;P392</f>
        <v>(  ±  ) hPa</v>
      </c>
      <c r="U383" s="523"/>
      <c r="Z383" s="431"/>
      <c r="AE383" s="520"/>
    </row>
    <row r="384" spans="1:36" ht="14" x14ac:dyDescent="0.3">
      <c r="D384" s="524"/>
      <c r="E384" s="525"/>
      <c r="G384" s="524"/>
      <c r="H384" s="524"/>
      <c r="I384" s="524"/>
      <c r="J384" s="524"/>
      <c r="M384" s="524"/>
      <c r="N384" s="524"/>
      <c r="O384" s="524"/>
      <c r="P384" s="524"/>
      <c r="Z384" s="431"/>
      <c r="AE384" s="520"/>
      <c r="AF384" s="526"/>
      <c r="AJ384" s="442"/>
    </row>
    <row r="385" spans="1:36" ht="31.5" x14ac:dyDescent="0.3">
      <c r="D385" s="82"/>
      <c r="E385" s="527"/>
      <c r="G385" s="69"/>
      <c r="H385" s="82"/>
      <c r="I385" s="82"/>
      <c r="J385" s="82"/>
      <c r="M385" s="69"/>
      <c r="N385" s="82"/>
      <c r="O385" s="82"/>
      <c r="P385" s="82"/>
      <c r="S385" s="454" t="s">
        <v>303</v>
      </c>
      <c r="T385" s="454" t="s">
        <v>304</v>
      </c>
      <c r="U385" s="454" t="s">
        <v>305</v>
      </c>
      <c r="Z385" s="431"/>
      <c r="AE385" s="431"/>
      <c r="AJ385" s="442"/>
    </row>
    <row r="386" spans="1:36" ht="13.5" x14ac:dyDescent="0.3">
      <c r="A386" s="69"/>
      <c r="B386" s="82"/>
      <c r="C386" s="82"/>
      <c r="D386" s="82"/>
      <c r="E386" s="527"/>
      <c r="G386" s="69"/>
      <c r="H386" s="82"/>
      <c r="I386" s="82"/>
      <c r="J386" s="82"/>
      <c r="M386" s="69"/>
      <c r="N386" s="82"/>
      <c r="O386" s="82"/>
      <c r="P386" s="82"/>
      <c r="S386" s="528">
        <f>FORECAST(T377,B376:B382,A376:A382)</f>
        <v>0.1781574891786904</v>
      </c>
      <c r="T386" s="446">
        <f>FORECAST(T378,H376:H382,G376:G382)</f>
        <v>-1.9028571428571428</v>
      </c>
      <c r="U386" s="446"/>
      <c r="Z386" s="431"/>
      <c r="AE386" s="431"/>
      <c r="AJ386" s="442"/>
    </row>
    <row r="387" spans="1:36" ht="13.5" thickBot="1" x14ac:dyDescent="0.35">
      <c r="A387" s="69"/>
      <c r="B387" s="82"/>
      <c r="C387" s="82"/>
      <c r="D387" s="82"/>
      <c r="E387" s="529"/>
      <c r="G387" s="69"/>
      <c r="H387" s="82"/>
      <c r="I387" s="82"/>
      <c r="J387" s="82"/>
      <c r="M387" s="69"/>
      <c r="N387" s="82"/>
      <c r="O387" s="82"/>
      <c r="P387" s="82"/>
      <c r="Z387" s="530"/>
      <c r="AE387" s="530"/>
      <c r="AF387" s="531"/>
      <c r="AG387" s="532"/>
      <c r="AH387" s="532"/>
      <c r="AI387" s="532"/>
      <c r="AJ387" s="533"/>
    </row>
    <row r="388" spans="1:36" ht="13" thickBot="1" x14ac:dyDescent="0.3"/>
    <row r="389" spans="1:36" ht="13" x14ac:dyDescent="0.25">
      <c r="A389" s="1069" t="str">
        <f>ID!B52</f>
        <v>Thermohygrobarometer, Merek : EXTECH, Model : SD700, SN : A.100616</v>
      </c>
      <c r="B389" s="1069"/>
      <c r="C389" s="1069"/>
      <c r="D389" s="1069"/>
      <c r="E389" s="1069"/>
      <c r="F389" s="1069"/>
      <c r="G389" s="1069"/>
      <c r="H389" s="1069"/>
      <c r="I389" s="1069"/>
      <c r="J389" s="1069"/>
      <c r="K389" s="1069"/>
      <c r="L389" s="1069"/>
      <c r="N389" s="1021" t="s">
        <v>196</v>
      </c>
      <c r="O389" s="1022"/>
      <c r="P389" s="1023"/>
    </row>
    <row r="390" spans="1:36" ht="15.5" x14ac:dyDescent="0.25">
      <c r="A390" s="534" t="s">
        <v>306</v>
      </c>
      <c r="B390" s="486"/>
      <c r="C390" s="486"/>
      <c r="D390" s="534"/>
      <c r="E390" s="534"/>
      <c r="F390" s="534"/>
      <c r="G390" s="534"/>
      <c r="H390" s="534"/>
      <c r="I390" s="542">
        <f>D4</f>
        <v>2020</v>
      </c>
      <c r="J390" s="542">
        <f>E4</f>
        <v>2017</v>
      </c>
      <c r="K390" s="542">
        <f>F4</f>
        <v>2016</v>
      </c>
      <c r="L390" s="542">
        <v>1</v>
      </c>
      <c r="N390" s="535" t="str">
        <f>TEXT(U377,"0.0")</f>
        <v>18.4</v>
      </c>
      <c r="O390" s="296" t="str">
        <f>TEXT(W377,"0.0")</f>
        <v>0.4</v>
      </c>
      <c r="P390" s="536" t="s">
        <v>197</v>
      </c>
    </row>
    <row r="391" spans="1:36" ht="15.5" x14ac:dyDescent="0.25">
      <c r="A391" s="534" t="s">
        <v>307</v>
      </c>
      <c r="B391" s="486"/>
      <c r="C391" s="486"/>
      <c r="D391" s="534"/>
      <c r="E391" s="534"/>
      <c r="F391" s="534"/>
      <c r="G391" s="534"/>
      <c r="H391" s="534"/>
      <c r="I391" s="542">
        <f>D15</f>
        <v>2021</v>
      </c>
      <c r="J391" s="542">
        <f>E15</f>
        <v>2018</v>
      </c>
      <c r="K391" s="542">
        <f>F15</f>
        <v>2016</v>
      </c>
      <c r="L391" s="542">
        <v>2</v>
      </c>
      <c r="N391" s="535" t="str">
        <f>TEXT(U378,"0.0")</f>
        <v>60.1</v>
      </c>
      <c r="O391" s="296" t="str">
        <f>TEXT(W378,"0.0")</f>
        <v>2.2</v>
      </c>
      <c r="P391" s="536" t="s">
        <v>199</v>
      </c>
    </row>
    <row r="392" spans="1:36" ht="15.5" x14ac:dyDescent="0.25">
      <c r="A392" s="534" t="s">
        <v>308</v>
      </c>
      <c r="B392" s="486"/>
      <c r="C392" s="486"/>
      <c r="D392" s="534"/>
      <c r="E392" s="534"/>
      <c r="F392" s="534"/>
      <c r="G392" s="534"/>
      <c r="H392" s="534"/>
      <c r="I392" s="542">
        <f>D26</f>
        <v>2021</v>
      </c>
      <c r="J392" s="542">
        <f>E26</f>
        <v>2018</v>
      </c>
      <c r="K392" s="542">
        <f>F26</f>
        <v>2016</v>
      </c>
      <c r="L392" s="542">
        <v>3</v>
      </c>
      <c r="N392" s="535"/>
      <c r="O392" s="296"/>
      <c r="P392" s="537" t="s">
        <v>309</v>
      </c>
    </row>
    <row r="393" spans="1:36" ht="16" thickBot="1" x14ac:dyDescent="0.35">
      <c r="A393" s="534" t="s">
        <v>310</v>
      </c>
      <c r="B393" s="486"/>
      <c r="C393" s="486"/>
      <c r="D393" s="534"/>
      <c r="E393" s="534"/>
      <c r="F393" s="534"/>
      <c r="G393" s="534"/>
      <c r="H393" s="534"/>
      <c r="I393" s="542">
        <f>D37</f>
        <v>2019</v>
      </c>
      <c r="J393" s="542">
        <f>E37</f>
        <v>2017</v>
      </c>
      <c r="K393" s="542">
        <f>F37</f>
        <v>2016</v>
      </c>
      <c r="L393" s="542">
        <v>4</v>
      </c>
      <c r="N393" s="538" t="s">
        <v>200</v>
      </c>
      <c r="O393" s="539" t="s">
        <v>201</v>
      </c>
      <c r="P393" s="540" t="s">
        <v>202</v>
      </c>
    </row>
    <row r="394" spans="1:36" ht="13" x14ac:dyDescent="0.25">
      <c r="A394" s="534" t="s">
        <v>311</v>
      </c>
      <c r="B394" s="486"/>
      <c r="C394" s="486"/>
      <c r="D394" s="534"/>
      <c r="E394" s="534"/>
      <c r="F394" s="534"/>
      <c r="G394" s="534"/>
      <c r="H394" s="534"/>
      <c r="I394" s="542">
        <f>D48</f>
        <v>2020</v>
      </c>
      <c r="J394" s="542">
        <f>E48</f>
        <v>2017</v>
      </c>
      <c r="K394" s="542">
        <f>F48</f>
        <v>2016</v>
      </c>
      <c r="L394" s="542">
        <v>5</v>
      </c>
    </row>
    <row r="395" spans="1:36" ht="13" x14ac:dyDescent="0.25">
      <c r="A395" s="534" t="s">
        <v>312</v>
      </c>
      <c r="B395" s="486"/>
      <c r="C395" s="486"/>
      <c r="D395" s="534"/>
      <c r="E395" s="534"/>
      <c r="F395" s="534"/>
      <c r="G395" s="534"/>
      <c r="H395" s="534"/>
      <c r="I395" s="542">
        <f>D59</f>
        <v>2019</v>
      </c>
      <c r="J395" s="542">
        <f>E59</f>
        <v>2018</v>
      </c>
      <c r="K395" s="542">
        <f>F59</f>
        <v>2016</v>
      </c>
      <c r="L395" s="542">
        <v>6</v>
      </c>
    </row>
    <row r="396" spans="1:36" ht="13" x14ac:dyDescent="0.25">
      <c r="A396" s="534" t="s">
        <v>313</v>
      </c>
      <c r="B396" s="486"/>
      <c r="C396" s="486"/>
      <c r="D396" s="534"/>
      <c r="E396" s="534"/>
      <c r="F396" s="534"/>
      <c r="G396" s="534"/>
      <c r="H396" s="534"/>
      <c r="I396" s="542">
        <f>D70</f>
        <v>2021</v>
      </c>
      <c r="J396" s="542">
        <f>E70</f>
        <v>2018</v>
      </c>
      <c r="K396" s="542">
        <f>F70</f>
        <v>2016</v>
      </c>
      <c r="L396" s="542">
        <v>7</v>
      </c>
    </row>
    <row r="397" spans="1:36" ht="13" x14ac:dyDescent="0.25">
      <c r="A397" s="534" t="s">
        <v>314</v>
      </c>
      <c r="B397" s="486"/>
      <c r="C397" s="486"/>
      <c r="D397" s="534"/>
      <c r="E397" s="534"/>
      <c r="F397" s="534"/>
      <c r="G397" s="534"/>
      <c r="H397" s="534"/>
      <c r="I397" s="542">
        <f>D81</f>
        <v>2021</v>
      </c>
      <c r="J397" s="542">
        <f>E81</f>
        <v>2019</v>
      </c>
      <c r="K397" s="542">
        <f>F81</f>
        <v>2016</v>
      </c>
      <c r="L397" s="542">
        <v>8</v>
      </c>
    </row>
    <row r="398" spans="1:36" ht="13" x14ac:dyDescent="0.25">
      <c r="A398" s="534" t="s">
        <v>315</v>
      </c>
      <c r="B398" s="486"/>
      <c r="C398" s="486"/>
      <c r="D398" s="534"/>
      <c r="E398" s="534"/>
      <c r="F398" s="534"/>
      <c r="G398" s="534"/>
      <c r="H398" s="534"/>
      <c r="I398" s="542">
        <f>D92</f>
        <v>2019</v>
      </c>
      <c r="J398" s="542" t="str">
        <f>E92</f>
        <v>-</v>
      </c>
      <c r="K398" s="542">
        <f>F92</f>
        <v>2016</v>
      </c>
      <c r="L398" s="542">
        <v>9</v>
      </c>
    </row>
    <row r="399" spans="1:36" ht="13" x14ac:dyDescent="0.25">
      <c r="A399" s="534" t="s">
        <v>316</v>
      </c>
      <c r="B399" s="486"/>
      <c r="C399" s="486"/>
      <c r="D399" s="534"/>
      <c r="E399" s="534"/>
      <c r="F399" s="534"/>
      <c r="G399" s="534"/>
      <c r="H399" s="534"/>
      <c r="I399" s="542">
        <f>D103</f>
        <v>2019</v>
      </c>
      <c r="J399" s="542">
        <f>E103</f>
        <v>2016</v>
      </c>
      <c r="K399" s="542">
        <f>F103</f>
        <v>2016</v>
      </c>
      <c r="L399" s="542">
        <v>10</v>
      </c>
    </row>
    <row r="400" spans="1:36" ht="13" x14ac:dyDescent="0.25">
      <c r="A400" s="534" t="s">
        <v>317</v>
      </c>
      <c r="B400" s="486"/>
      <c r="C400" s="486"/>
      <c r="D400" s="534"/>
      <c r="E400" s="534"/>
      <c r="F400" s="534"/>
      <c r="G400" s="534"/>
      <c r="H400" s="534"/>
      <c r="I400" s="542">
        <f>D114</f>
        <v>2020</v>
      </c>
      <c r="J400" s="542">
        <f>E114</f>
        <v>2016</v>
      </c>
      <c r="K400" s="542">
        <f>F114</f>
        <v>2016</v>
      </c>
      <c r="L400" s="542">
        <v>11</v>
      </c>
    </row>
    <row r="401" spans="1:12" ht="13" x14ac:dyDescent="0.25">
      <c r="A401" s="534" t="s">
        <v>318</v>
      </c>
      <c r="B401" s="486"/>
      <c r="C401" s="486"/>
      <c r="D401" s="534"/>
      <c r="E401" s="534"/>
      <c r="F401" s="534"/>
      <c r="G401" s="534"/>
      <c r="H401" s="534"/>
      <c r="I401" s="542">
        <f>D125</f>
        <v>2020</v>
      </c>
      <c r="J401" s="542" t="str">
        <f>E125</f>
        <v>-</v>
      </c>
      <c r="K401" s="542">
        <f>F125</f>
        <v>2016</v>
      </c>
      <c r="L401" s="542">
        <v>12</v>
      </c>
    </row>
    <row r="402" spans="1:12" ht="13" x14ac:dyDescent="0.25">
      <c r="A402" s="534" t="s">
        <v>319</v>
      </c>
      <c r="B402" s="486"/>
      <c r="C402" s="486"/>
      <c r="D402" s="534"/>
      <c r="E402" s="534"/>
      <c r="F402" s="534"/>
      <c r="G402" s="534"/>
      <c r="H402" s="534"/>
      <c r="I402" s="542">
        <f>D136</f>
        <v>2022</v>
      </c>
      <c r="J402" s="542">
        <f>E136</f>
        <v>2020</v>
      </c>
      <c r="K402" s="542" t="str">
        <f>F136</f>
        <v>-</v>
      </c>
      <c r="L402" s="542">
        <v>13</v>
      </c>
    </row>
    <row r="403" spans="1:12" ht="13" x14ac:dyDescent="0.25">
      <c r="A403" s="534" t="s">
        <v>320</v>
      </c>
      <c r="B403" s="486"/>
      <c r="C403" s="486"/>
      <c r="D403" s="534"/>
      <c r="E403" s="534"/>
      <c r="F403" s="534"/>
      <c r="G403" s="534"/>
      <c r="H403" s="534"/>
      <c r="I403" s="542">
        <f>D147</f>
        <v>2022</v>
      </c>
      <c r="J403" s="542">
        <f>E147</f>
        <v>2020</v>
      </c>
      <c r="K403" s="542" t="str">
        <f>F147</f>
        <v>-</v>
      </c>
      <c r="L403" s="542">
        <v>14</v>
      </c>
    </row>
    <row r="404" spans="1:12" ht="13" x14ac:dyDescent="0.25">
      <c r="A404" s="534" t="s">
        <v>321</v>
      </c>
      <c r="B404" s="486"/>
      <c r="C404" s="486"/>
      <c r="D404" s="534"/>
      <c r="E404" s="534"/>
      <c r="F404" s="534"/>
      <c r="G404" s="534"/>
      <c r="H404" s="534"/>
      <c r="I404" s="542">
        <f>D158</f>
        <v>2022</v>
      </c>
      <c r="J404" s="542">
        <f>E158</f>
        <v>2020</v>
      </c>
      <c r="K404" s="542" t="str">
        <f>F158</f>
        <v>-</v>
      </c>
      <c r="L404" s="542">
        <v>15</v>
      </c>
    </row>
    <row r="405" spans="1:12" ht="13" x14ac:dyDescent="0.25">
      <c r="A405" s="534" t="s">
        <v>322</v>
      </c>
      <c r="B405" s="486"/>
      <c r="C405" s="486"/>
      <c r="D405" s="534"/>
      <c r="E405" s="534"/>
      <c r="F405" s="534"/>
      <c r="G405" s="534"/>
      <c r="H405" s="534"/>
      <c r="I405" s="542">
        <f>D169</f>
        <v>2020</v>
      </c>
      <c r="J405" s="542" t="str">
        <f>E169</f>
        <v>-</v>
      </c>
      <c r="K405" s="542">
        <f>F169</f>
        <v>2016</v>
      </c>
      <c r="L405" s="542">
        <v>16</v>
      </c>
    </row>
    <row r="406" spans="1:12" ht="13" x14ac:dyDescent="0.25">
      <c r="A406" s="534" t="s">
        <v>323</v>
      </c>
      <c r="B406" s="486"/>
      <c r="C406" s="486"/>
      <c r="D406" s="534"/>
      <c r="E406" s="534"/>
      <c r="F406" s="534"/>
      <c r="G406" s="534"/>
      <c r="H406" s="534"/>
      <c r="I406" s="542">
        <f>D180</f>
        <v>2020</v>
      </c>
      <c r="J406" s="542" t="str">
        <f>E180</f>
        <v>-</v>
      </c>
      <c r="K406" s="542">
        <f>F180</f>
        <v>2016</v>
      </c>
      <c r="L406" s="542">
        <v>17</v>
      </c>
    </row>
    <row r="407" spans="1:12" ht="13" x14ac:dyDescent="0.25">
      <c r="A407" s="534" t="s">
        <v>324</v>
      </c>
      <c r="B407" s="486"/>
      <c r="C407" s="486"/>
      <c r="D407" s="534"/>
      <c r="E407" s="534"/>
      <c r="F407" s="534"/>
      <c r="G407" s="534"/>
      <c r="H407" s="534"/>
      <c r="I407" s="542">
        <f>D191</f>
        <v>2020</v>
      </c>
      <c r="J407" s="542" t="str">
        <f>E191</f>
        <v>-</v>
      </c>
      <c r="K407" s="542">
        <f>F191</f>
        <v>2016</v>
      </c>
      <c r="L407" s="542">
        <v>18</v>
      </c>
    </row>
    <row r="408" spans="1:12" ht="13" x14ac:dyDescent="0.25">
      <c r="A408" s="534" t="s">
        <v>113</v>
      </c>
      <c r="B408" s="486"/>
      <c r="C408" s="486"/>
      <c r="D408" s="534"/>
      <c r="E408" s="534"/>
      <c r="F408" s="534"/>
      <c r="G408" s="534"/>
      <c r="H408" s="534"/>
      <c r="I408" s="542">
        <f>D202</f>
        <v>2021</v>
      </c>
      <c r="J408" s="542" t="str">
        <f>E202</f>
        <v>-</v>
      </c>
      <c r="K408" s="542">
        <f>F202</f>
        <v>2016</v>
      </c>
      <c r="L408" s="542">
        <v>19</v>
      </c>
    </row>
    <row r="409" spans="1:12" ht="13" x14ac:dyDescent="0.25">
      <c r="A409" s="541">
        <v>20</v>
      </c>
      <c r="B409" s="486"/>
      <c r="C409" s="486"/>
      <c r="D409" s="534"/>
      <c r="E409" s="534"/>
      <c r="F409" s="534"/>
      <c r="G409" s="534"/>
      <c r="H409" s="534"/>
      <c r="I409" s="542">
        <f>D213</f>
        <v>2017</v>
      </c>
      <c r="J409" s="542" t="str">
        <f>E213</f>
        <v>-</v>
      </c>
      <c r="K409" s="542">
        <f>F213</f>
        <v>2016</v>
      </c>
      <c r="L409" s="542">
        <v>20</v>
      </c>
    </row>
    <row r="410" spans="1:12" ht="13" x14ac:dyDescent="0.25">
      <c r="A410" s="1043">
        <f>VLOOKUP(A389,A390:L409,12,(FALSE))</f>
        <v>16</v>
      </c>
      <c r="B410" s="1043"/>
      <c r="C410" s="1043"/>
      <c r="D410" s="1043"/>
      <c r="E410" s="1043"/>
      <c r="F410" s="1043"/>
      <c r="G410" s="1043"/>
      <c r="H410" s="1043"/>
      <c r="I410" s="1043"/>
      <c r="J410" s="1043"/>
      <c r="K410" s="1043"/>
      <c r="L410" s="1043"/>
    </row>
  </sheetData>
  <mergeCells count="403">
    <mergeCell ref="A389:L389"/>
    <mergeCell ref="N389:P389"/>
    <mergeCell ref="A410:L410"/>
    <mergeCell ref="S374:S376"/>
    <mergeCell ref="T374:T376"/>
    <mergeCell ref="U374:U376"/>
    <mergeCell ref="V374:V376"/>
    <mergeCell ref="W374:W376"/>
    <mergeCell ref="S381:S383"/>
    <mergeCell ref="B373:E373"/>
    <mergeCell ref="H373:K373"/>
    <mergeCell ref="N373:Q373"/>
    <mergeCell ref="T373:W373"/>
    <mergeCell ref="B374:D374"/>
    <mergeCell ref="E374:E375"/>
    <mergeCell ref="H374:J374"/>
    <mergeCell ref="K374:K375"/>
    <mergeCell ref="N374:P374"/>
    <mergeCell ref="Q374:Q375"/>
    <mergeCell ref="A331:A350"/>
    <mergeCell ref="I331:I350"/>
    <mergeCell ref="Q331:Q350"/>
    <mergeCell ref="A352:A371"/>
    <mergeCell ref="I352:I371"/>
    <mergeCell ref="Q352:Q371"/>
    <mergeCell ref="A289:A308"/>
    <mergeCell ref="I289:I308"/>
    <mergeCell ref="Q289:Q308"/>
    <mergeCell ref="A310:A329"/>
    <mergeCell ref="I310:I329"/>
    <mergeCell ref="Q310:Q329"/>
    <mergeCell ref="Y247:Z247"/>
    <mergeCell ref="Y248:Z248"/>
    <mergeCell ref="A268:A287"/>
    <mergeCell ref="I268:I287"/>
    <mergeCell ref="Q268:Q287"/>
    <mergeCell ref="Y271:Z271"/>
    <mergeCell ref="Y272:Z272"/>
    <mergeCell ref="A226:A245"/>
    <mergeCell ref="I226:I245"/>
    <mergeCell ref="Q226:Q245"/>
    <mergeCell ref="A247:A266"/>
    <mergeCell ref="I247:I266"/>
    <mergeCell ref="Q247:Q266"/>
    <mergeCell ref="Y223:Z223"/>
    <mergeCell ref="D224:F224"/>
    <mergeCell ref="G224:G225"/>
    <mergeCell ref="L224:N224"/>
    <mergeCell ref="O224:O225"/>
    <mergeCell ref="T224:V224"/>
    <mergeCell ref="W224:W225"/>
    <mergeCell ref="Y224:Z224"/>
    <mergeCell ref="B221:U221"/>
    <mergeCell ref="I213:J213"/>
    <mergeCell ref="P213:Q213"/>
    <mergeCell ref="A211:A220"/>
    <mergeCell ref="B211:G211"/>
    <mergeCell ref="I211:N211"/>
    <mergeCell ref="P211:U211"/>
    <mergeCell ref="A223:A225"/>
    <mergeCell ref="B223:B225"/>
    <mergeCell ref="C223:F223"/>
    <mergeCell ref="I223:I225"/>
    <mergeCell ref="J223:J225"/>
    <mergeCell ref="K223:N223"/>
    <mergeCell ref="Q223:Q225"/>
    <mergeCell ref="R223:R225"/>
    <mergeCell ref="S223:V223"/>
    <mergeCell ref="W189:X189"/>
    <mergeCell ref="B190:C190"/>
    <mergeCell ref="D190:F190"/>
    <mergeCell ref="G190:G191"/>
    <mergeCell ref="I190:J190"/>
    <mergeCell ref="K190:M190"/>
    <mergeCell ref="W211:X211"/>
    <mergeCell ref="B212:C212"/>
    <mergeCell ref="D212:F212"/>
    <mergeCell ref="G212:G213"/>
    <mergeCell ref="I212:J212"/>
    <mergeCell ref="K212:M212"/>
    <mergeCell ref="N201:N202"/>
    <mergeCell ref="P201:Q201"/>
    <mergeCell ref="R201:T201"/>
    <mergeCell ref="U201:U202"/>
    <mergeCell ref="B202:C202"/>
    <mergeCell ref="I202:J202"/>
    <mergeCell ref="P202:Q202"/>
    <mergeCell ref="N212:N213"/>
    <mergeCell ref="P212:Q212"/>
    <mergeCell ref="R212:T212"/>
    <mergeCell ref="U212:U213"/>
    <mergeCell ref="B213:C213"/>
    <mergeCell ref="A200:A209"/>
    <mergeCell ref="B200:G200"/>
    <mergeCell ref="I200:N200"/>
    <mergeCell ref="P200:U200"/>
    <mergeCell ref="W200:X200"/>
    <mergeCell ref="B201:C201"/>
    <mergeCell ref="D201:F201"/>
    <mergeCell ref="G201:G202"/>
    <mergeCell ref="I201:J201"/>
    <mergeCell ref="K201:M201"/>
    <mergeCell ref="N190:N191"/>
    <mergeCell ref="P190:Q190"/>
    <mergeCell ref="R190:T190"/>
    <mergeCell ref="U190:U191"/>
    <mergeCell ref="B191:C191"/>
    <mergeCell ref="I191:J191"/>
    <mergeCell ref="P191:Q191"/>
    <mergeCell ref="A189:A198"/>
    <mergeCell ref="B189:G189"/>
    <mergeCell ref="I189:N189"/>
    <mergeCell ref="P189:U189"/>
    <mergeCell ref="W167:X167"/>
    <mergeCell ref="B168:C168"/>
    <mergeCell ref="D168:F168"/>
    <mergeCell ref="G168:G169"/>
    <mergeCell ref="I168:J168"/>
    <mergeCell ref="K168:M168"/>
    <mergeCell ref="N179:N180"/>
    <mergeCell ref="P179:Q179"/>
    <mergeCell ref="R179:T179"/>
    <mergeCell ref="U179:U180"/>
    <mergeCell ref="B180:C180"/>
    <mergeCell ref="I180:J180"/>
    <mergeCell ref="P180:Q180"/>
    <mergeCell ref="N168:N169"/>
    <mergeCell ref="P168:Q168"/>
    <mergeCell ref="R168:T168"/>
    <mergeCell ref="U168:U169"/>
    <mergeCell ref="B169:C169"/>
    <mergeCell ref="I169:J169"/>
    <mergeCell ref="P169:Q169"/>
    <mergeCell ref="A178:A187"/>
    <mergeCell ref="B178:G178"/>
    <mergeCell ref="I178:N178"/>
    <mergeCell ref="P178:U178"/>
    <mergeCell ref="W178:X178"/>
    <mergeCell ref="B179:C179"/>
    <mergeCell ref="D179:F179"/>
    <mergeCell ref="G179:G180"/>
    <mergeCell ref="I179:J179"/>
    <mergeCell ref="K179:M179"/>
    <mergeCell ref="A167:A176"/>
    <mergeCell ref="B167:G167"/>
    <mergeCell ref="I167:N167"/>
    <mergeCell ref="P167:U167"/>
    <mergeCell ref="W145:X145"/>
    <mergeCell ref="B146:C146"/>
    <mergeCell ref="D146:F146"/>
    <mergeCell ref="G146:G147"/>
    <mergeCell ref="I146:J146"/>
    <mergeCell ref="K146:M146"/>
    <mergeCell ref="N157:N158"/>
    <mergeCell ref="P157:Q157"/>
    <mergeCell ref="R157:T157"/>
    <mergeCell ref="U157:U158"/>
    <mergeCell ref="B158:C158"/>
    <mergeCell ref="I158:J158"/>
    <mergeCell ref="P158:Q158"/>
    <mergeCell ref="A156:A165"/>
    <mergeCell ref="B156:G156"/>
    <mergeCell ref="I156:N156"/>
    <mergeCell ref="P156:U156"/>
    <mergeCell ref="W156:X156"/>
    <mergeCell ref="B157:C157"/>
    <mergeCell ref="D157:F157"/>
    <mergeCell ref="G157:G158"/>
    <mergeCell ref="I157:J157"/>
    <mergeCell ref="K157:M157"/>
    <mergeCell ref="N146:N147"/>
    <mergeCell ref="P146:Q146"/>
    <mergeCell ref="R146:T146"/>
    <mergeCell ref="U146:U147"/>
    <mergeCell ref="B147:C147"/>
    <mergeCell ref="I147:J147"/>
    <mergeCell ref="P147:Q147"/>
    <mergeCell ref="A145:A154"/>
    <mergeCell ref="B145:G145"/>
    <mergeCell ref="I145:N145"/>
    <mergeCell ref="P145:U145"/>
    <mergeCell ref="W123:X123"/>
    <mergeCell ref="B124:C124"/>
    <mergeCell ref="D124:F124"/>
    <mergeCell ref="G124:G125"/>
    <mergeCell ref="I124:J124"/>
    <mergeCell ref="K124:M124"/>
    <mergeCell ref="N135:N136"/>
    <mergeCell ref="P135:Q135"/>
    <mergeCell ref="R135:T135"/>
    <mergeCell ref="U135:U136"/>
    <mergeCell ref="B136:C136"/>
    <mergeCell ref="I136:J136"/>
    <mergeCell ref="P136:Q136"/>
    <mergeCell ref="A134:A143"/>
    <mergeCell ref="B134:G134"/>
    <mergeCell ref="I134:N134"/>
    <mergeCell ref="P134:U134"/>
    <mergeCell ref="W134:X134"/>
    <mergeCell ref="B135:C135"/>
    <mergeCell ref="D135:F135"/>
    <mergeCell ref="G135:G136"/>
    <mergeCell ref="I135:J135"/>
    <mergeCell ref="K135:M135"/>
    <mergeCell ref="N124:N125"/>
    <mergeCell ref="P124:Q124"/>
    <mergeCell ref="R124:T124"/>
    <mergeCell ref="U124:U125"/>
    <mergeCell ref="B125:C125"/>
    <mergeCell ref="I125:J125"/>
    <mergeCell ref="P125:Q125"/>
    <mergeCell ref="A123:A132"/>
    <mergeCell ref="B123:G123"/>
    <mergeCell ref="I123:N123"/>
    <mergeCell ref="P123:U123"/>
    <mergeCell ref="W101:X101"/>
    <mergeCell ref="B102:C102"/>
    <mergeCell ref="D102:F102"/>
    <mergeCell ref="G102:G103"/>
    <mergeCell ref="I102:J102"/>
    <mergeCell ref="K102:M102"/>
    <mergeCell ref="N113:N114"/>
    <mergeCell ref="P113:Q113"/>
    <mergeCell ref="R113:T113"/>
    <mergeCell ref="U113:U114"/>
    <mergeCell ref="B114:C114"/>
    <mergeCell ref="I114:J114"/>
    <mergeCell ref="P114:Q114"/>
    <mergeCell ref="A112:A121"/>
    <mergeCell ref="B112:G112"/>
    <mergeCell ref="I112:N112"/>
    <mergeCell ref="P112:U112"/>
    <mergeCell ref="W112:X112"/>
    <mergeCell ref="B113:C113"/>
    <mergeCell ref="D113:F113"/>
    <mergeCell ref="G113:G114"/>
    <mergeCell ref="I113:J113"/>
    <mergeCell ref="K113:M113"/>
    <mergeCell ref="N102:N103"/>
    <mergeCell ref="P102:Q102"/>
    <mergeCell ref="R102:T102"/>
    <mergeCell ref="U102:U103"/>
    <mergeCell ref="B103:C103"/>
    <mergeCell ref="I103:J103"/>
    <mergeCell ref="P103:Q103"/>
    <mergeCell ref="A101:A110"/>
    <mergeCell ref="B101:G101"/>
    <mergeCell ref="I101:N101"/>
    <mergeCell ref="P101:U101"/>
    <mergeCell ref="W79:X79"/>
    <mergeCell ref="B80:C80"/>
    <mergeCell ref="D80:F80"/>
    <mergeCell ref="G80:G81"/>
    <mergeCell ref="I80:J80"/>
    <mergeCell ref="K80:M80"/>
    <mergeCell ref="N91:N92"/>
    <mergeCell ref="P91:Q91"/>
    <mergeCell ref="R91:T91"/>
    <mergeCell ref="U91:U92"/>
    <mergeCell ref="B92:C92"/>
    <mergeCell ref="I92:J92"/>
    <mergeCell ref="P92:Q92"/>
    <mergeCell ref="A90:A99"/>
    <mergeCell ref="B90:G90"/>
    <mergeCell ref="I90:N90"/>
    <mergeCell ref="P90:U90"/>
    <mergeCell ref="W90:X90"/>
    <mergeCell ref="B91:C91"/>
    <mergeCell ref="D91:F91"/>
    <mergeCell ref="G91:G92"/>
    <mergeCell ref="I91:J91"/>
    <mergeCell ref="K91:M91"/>
    <mergeCell ref="N80:N81"/>
    <mergeCell ref="P80:Q80"/>
    <mergeCell ref="R80:T80"/>
    <mergeCell ref="U80:U81"/>
    <mergeCell ref="B81:C81"/>
    <mergeCell ref="I81:J81"/>
    <mergeCell ref="P81:Q81"/>
    <mergeCell ref="A79:A88"/>
    <mergeCell ref="B79:G79"/>
    <mergeCell ref="I79:N79"/>
    <mergeCell ref="P79:U79"/>
    <mergeCell ref="W57:X57"/>
    <mergeCell ref="B58:C58"/>
    <mergeCell ref="D58:F58"/>
    <mergeCell ref="G58:G59"/>
    <mergeCell ref="I58:J58"/>
    <mergeCell ref="K58:M58"/>
    <mergeCell ref="N69:N70"/>
    <mergeCell ref="P69:Q69"/>
    <mergeCell ref="R69:T69"/>
    <mergeCell ref="U69:U70"/>
    <mergeCell ref="B70:C70"/>
    <mergeCell ref="I70:J70"/>
    <mergeCell ref="P70:Q70"/>
    <mergeCell ref="A68:A77"/>
    <mergeCell ref="B68:G68"/>
    <mergeCell ref="I68:N68"/>
    <mergeCell ref="P68:U68"/>
    <mergeCell ref="W68:X68"/>
    <mergeCell ref="B69:C69"/>
    <mergeCell ref="D69:F69"/>
    <mergeCell ref="G69:G70"/>
    <mergeCell ref="I69:J69"/>
    <mergeCell ref="K69:M69"/>
    <mergeCell ref="N58:N59"/>
    <mergeCell ref="P58:Q58"/>
    <mergeCell ref="R58:T58"/>
    <mergeCell ref="U58:U59"/>
    <mergeCell ref="B59:C59"/>
    <mergeCell ref="I59:J59"/>
    <mergeCell ref="P59:Q59"/>
    <mergeCell ref="A57:A66"/>
    <mergeCell ref="B57:G57"/>
    <mergeCell ref="I57:N57"/>
    <mergeCell ref="P57:U57"/>
    <mergeCell ref="W35:X35"/>
    <mergeCell ref="B36:C36"/>
    <mergeCell ref="D36:F36"/>
    <mergeCell ref="G36:G37"/>
    <mergeCell ref="I36:J36"/>
    <mergeCell ref="K36:M36"/>
    <mergeCell ref="N47:N48"/>
    <mergeCell ref="P47:Q47"/>
    <mergeCell ref="R47:T47"/>
    <mergeCell ref="U47:U48"/>
    <mergeCell ref="B48:C48"/>
    <mergeCell ref="I48:J48"/>
    <mergeCell ref="P48:Q48"/>
    <mergeCell ref="A46:A55"/>
    <mergeCell ref="B46:G46"/>
    <mergeCell ref="I46:N46"/>
    <mergeCell ref="P46:U46"/>
    <mergeCell ref="W46:X46"/>
    <mergeCell ref="B47:C47"/>
    <mergeCell ref="D47:F47"/>
    <mergeCell ref="G47:G48"/>
    <mergeCell ref="I47:J47"/>
    <mergeCell ref="K47:M47"/>
    <mergeCell ref="N36:N37"/>
    <mergeCell ref="P36:Q36"/>
    <mergeCell ref="R36:T36"/>
    <mergeCell ref="U36:U37"/>
    <mergeCell ref="B37:C37"/>
    <mergeCell ref="I37:J37"/>
    <mergeCell ref="P37:Q37"/>
    <mergeCell ref="A35:A44"/>
    <mergeCell ref="B35:G35"/>
    <mergeCell ref="I35:N35"/>
    <mergeCell ref="P35:U35"/>
    <mergeCell ref="W13:X13"/>
    <mergeCell ref="B14:C14"/>
    <mergeCell ref="D14:F14"/>
    <mergeCell ref="G14:G15"/>
    <mergeCell ref="I14:J14"/>
    <mergeCell ref="K14:M14"/>
    <mergeCell ref="N25:N26"/>
    <mergeCell ref="P25:Q25"/>
    <mergeCell ref="R25:T25"/>
    <mergeCell ref="U25:U26"/>
    <mergeCell ref="B26:C26"/>
    <mergeCell ref="I26:J26"/>
    <mergeCell ref="P26:Q26"/>
    <mergeCell ref="A24:A33"/>
    <mergeCell ref="B24:G24"/>
    <mergeCell ref="I24:N24"/>
    <mergeCell ref="P24:U24"/>
    <mergeCell ref="W24:X24"/>
    <mergeCell ref="B25:C25"/>
    <mergeCell ref="D25:F25"/>
    <mergeCell ref="G25:G26"/>
    <mergeCell ref="I25:J25"/>
    <mergeCell ref="K25:M25"/>
    <mergeCell ref="N14:N15"/>
    <mergeCell ref="P14:Q14"/>
    <mergeCell ref="R14:T14"/>
    <mergeCell ref="U14:U15"/>
    <mergeCell ref="B15:C15"/>
    <mergeCell ref="I15:J15"/>
    <mergeCell ref="P15:Q15"/>
    <mergeCell ref="A13:A22"/>
    <mergeCell ref="B13:G13"/>
    <mergeCell ref="I13:N13"/>
    <mergeCell ref="P13:U13"/>
    <mergeCell ref="A1:U1"/>
    <mergeCell ref="A2:A11"/>
    <mergeCell ref="B2:G2"/>
    <mergeCell ref="I2:N2"/>
    <mergeCell ref="P2:U2"/>
    <mergeCell ref="W2:X2"/>
    <mergeCell ref="B3:C3"/>
    <mergeCell ref="D3:F3"/>
    <mergeCell ref="G3:G4"/>
    <mergeCell ref="I3:J3"/>
    <mergeCell ref="K3:M3"/>
    <mergeCell ref="N3:N4"/>
    <mergeCell ref="P3:Q3"/>
    <mergeCell ref="R3:T3"/>
    <mergeCell ref="U3:U4"/>
    <mergeCell ref="B4:C4"/>
    <mergeCell ref="I4:J4"/>
    <mergeCell ref="P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SERTIFIKAT</vt:lpstr>
      <vt:lpstr>Riwayat Revisi</vt:lpstr>
      <vt:lpstr>LK</vt:lpstr>
      <vt:lpstr>ID</vt:lpstr>
      <vt:lpstr>UB</vt:lpstr>
      <vt:lpstr>PENYELIA</vt:lpstr>
      <vt:lpstr>LH</vt:lpstr>
      <vt:lpstr>DB ESA</vt:lpstr>
      <vt:lpstr>DB Thermohygro</vt:lpstr>
      <vt:lpstr>DB ECG</vt:lpstr>
      <vt:lpstr>ID!Print_Area</vt:lpstr>
      <vt:lpstr>LH!Print_Area</vt:lpstr>
      <vt:lpstr>LK!Print_Area</vt:lpstr>
      <vt:lpstr>PENYELIA!Print_Area</vt:lpstr>
      <vt:lpstr>SERTIFIKAT!Print_Area</vt:lpstr>
      <vt:lpstr>UB!Print_Area</vt:lpstr>
    </vt:vector>
  </TitlesOfParts>
  <Manager/>
  <Company>BPFK Banjarbaru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software treadmill 2017</dc:creator>
  <cp:keywords/>
  <dc:description/>
  <cp:lastModifiedBy>MyBook PRO K5</cp:lastModifiedBy>
  <cp:revision/>
  <cp:lastPrinted>2023-09-01T07:11:40Z</cp:lastPrinted>
  <dcterms:created xsi:type="dcterms:W3CDTF">2004-10-08T07:10:33Z</dcterms:created>
  <dcterms:modified xsi:type="dcterms:W3CDTF">2023-09-18T01:08:50Z</dcterms:modified>
  <cp:category/>
  <cp:contentStatus/>
</cp:coreProperties>
</file>