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updateLinks="never" codeName="ThisWorkbook"/>
  <mc:AlternateContent xmlns:mc="http://schemas.openxmlformats.org/markup-compatibility/2006">
    <mc:Choice Requires="x15">
      <x15ac:absPath xmlns:x15ac="http://schemas.microsoft.com/office/spreadsheetml/2010/11/ac" url="C:\laragon\www\traxel\public\excel\"/>
    </mc:Choice>
  </mc:AlternateContent>
  <xr:revisionPtr revIDLastSave="0" documentId="13_ncr:1_{7BBB954C-806C-4C7C-8927-06C1F996A100}" xr6:coauthVersionLast="47" xr6:coauthVersionMax="47" xr10:uidLastSave="{00000000-0000-0000-0000-000000000000}"/>
  <bookViews>
    <workbookView xWindow="-110" yWindow="-110" windowWidth="19420" windowHeight="10300" tabRatio="601" firstSheet="4" activeTab="5" xr2:uid="{00000000-000D-0000-FFFF-FFFF00000000}"/>
  </bookViews>
  <sheets>
    <sheet name="LK" sheetId="13" r:id="rId1"/>
    <sheet name="Riwayat Revisi" sheetId="24" r:id="rId2"/>
    <sheet name="UB" sheetId="14" r:id="rId3"/>
    <sheet name="PENYELIA" sheetId="8" r:id="rId4"/>
    <sheet name="ID" sheetId="12" r:id="rId5"/>
    <sheet name="LH" sheetId="7" r:id="rId6"/>
    <sheet name="SERTIFIKAT" sheetId="25" r:id="rId7"/>
    <sheet name="DB Thermohygro" sheetId="18" r:id="rId8"/>
    <sheet name="DB Kelistrikan" sheetId="23" r:id="rId9"/>
    <sheet name="DB Gas Flow Analyzer" sheetId="20" r:id="rId10"/>
    <sheet name="DB MAXTEC" sheetId="21" r:id="rId11"/>
    <sheet name="SCORING" sheetId="22" state="hidden" r:id="rId12"/>
  </sheets>
  <externalReferences>
    <externalReference r:id="rId13"/>
    <externalReference r:id="rId14"/>
    <externalReference r:id="rId15"/>
  </externalReferences>
  <definedNames>
    <definedName name="_xlnm.Print_Area" localSheetId="4">ID!$A$1:$M$68</definedName>
    <definedName name="_xlnm.Print_Area" localSheetId="5">LH!$A$1:$M$77</definedName>
    <definedName name="_xlnm.Print_Area" localSheetId="0">LK!$A$1:$L$70</definedName>
    <definedName name="_xlnm.Print_Area" localSheetId="3">PENYELIA!$A$1:$O$71</definedName>
    <definedName name="_xlnm.Print_Area" localSheetId="2">UB!$A$1:$K$102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5" i="7" l="1"/>
  <c r="O269" i="23"/>
  <c r="M269" i="23"/>
  <c r="H26" i="7"/>
  <c r="A3" i="25"/>
  <c r="C4" i="21"/>
  <c r="I27" i="8"/>
  <c r="I26" i="8"/>
  <c r="M93" i="23"/>
  <c r="M275" i="23" l="1"/>
  <c r="N275" i="23" s="1"/>
  <c r="I266" i="23"/>
  <c r="N269" i="23" s="1"/>
  <c r="E8" i="8"/>
  <c r="B44" i="25"/>
  <c r="B43" i="25"/>
  <c r="H40" i="8"/>
  <c r="H41" i="8"/>
  <c r="H42" i="8"/>
  <c r="H43" i="8"/>
  <c r="F40" i="8"/>
  <c r="F41" i="8"/>
  <c r="F42" i="8"/>
  <c r="F43" i="8"/>
  <c r="K43" i="8"/>
  <c r="K42" i="8"/>
  <c r="K41" i="8"/>
  <c r="K40" i="8"/>
  <c r="D34" i="8"/>
  <c r="D33" i="8"/>
  <c r="D40" i="8"/>
  <c r="D41" i="8"/>
  <c r="D42" i="8"/>
  <c r="D43" i="8"/>
  <c r="D39" i="8"/>
  <c r="I170" i="20"/>
  <c r="I169" i="20"/>
  <c r="I168" i="20"/>
  <c r="I167" i="20"/>
  <c r="D94" i="14"/>
  <c r="D80" i="14"/>
  <c r="D66" i="14"/>
  <c r="D52" i="14"/>
  <c r="D93" i="14"/>
  <c r="D79" i="14"/>
  <c r="D65" i="14"/>
  <c r="D51" i="14"/>
  <c r="D92" i="14"/>
  <c r="D78" i="14"/>
  <c r="D64" i="14"/>
  <c r="D50" i="14"/>
  <c r="D36" i="14"/>
  <c r="D91" i="14"/>
  <c r="D77" i="14"/>
  <c r="D63" i="14"/>
  <c r="D49" i="14"/>
  <c r="D35" i="14"/>
  <c r="D90" i="14"/>
  <c r="D76" i="14"/>
  <c r="D62" i="14"/>
  <c r="D48" i="14"/>
  <c r="D34" i="14"/>
  <c r="N166" i="20"/>
  <c r="L166" i="20" l="1"/>
  <c r="N40" i="8"/>
  <c r="N41" i="8"/>
  <c r="N42" i="8"/>
  <c r="N43" i="8"/>
  <c r="B167" i="20"/>
  <c r="B168" i="20"/>
  <c r="B169" i="20"/>
  <c r="B170" i="20"/>
  <c r="B166" i="20"/>
  <c r="A167" i="20"/>
  <c r="A168" i="20"/>
  <c r="A169" i="20"/>
  <c r="A170" i="20"/>
  <c r="A166" i="20"/>
  <c r="C69" i="8"/>
  <c r="B49" i="12"/>
  <c r="A219" i="20"/>
  <c r="A236" i="20" s="1"/>
  <c r="A238" i="20"/>
  <c r="A240" i="20" s="1"/>
  <c r="O236" i="20"/>
  <c r="L235" i="20"/>
  <c r="K235" i="20"/>
  <c r="J235" i="20"/>
  <c r="L234" i="20"/>
  <c r="K234" i="20"/>
  <c r="J234" i="20"/>
  <c r="L233" i="20"/>
  <c r="K233" i="20"/>
  <c r="J233" i="20"/>
  <c r="L232" i="20"/>
  <c r="K232" i="20"/>
  <c r="J232" i="20"/>
  <c r="L231" i="20"/>
  <c r="K231" i="20"/>
  <c r="J231" i="20"/>
  <c r="L230" i="20"/>
  <c r="K230" i="20"/>
  <c r="J230" i="20"/>
  <c r="L229" i="20"/>
  <c r="K229" i="20"/>
  <c r="J229" i="20"/>
  <c r="L228" i="20"/>
  <c r="K228" i="20"/>
  <c r="J228" i="20"/>
  <c r="L227" i="20"/>
  <c r="K227" i="20"/>
  <c r="J227" i="20"/>
  <c r="L226" i="20"/>
  <c r="K226" i="20"/>
  <c r="J226" i="20"/>
  <c r="L225" i="20"/>
  <c r="K225" i="20"/>
  <c r="J225" i="20"/>
  <c r="L224" i="20"/>
  <c r="K224" i="20"/>
  <c r="J224" i="20"/>
  <c r="L223" i="20"/>
  <c r="K223" i="20"/>
  <c r="J223" i="20"/>
  <c r="L222" i="20"/>
  <c r="K222" i="20"/>
  <c r="J222" i="20"/>
  <c r="L221" i="20"/>
  <c r="K221" i="20"/>
  <c r="J221" i="20"/>
  <c r="L220" i="20"/>
  <c r="K220" i="20"/>
  <c r="J220" i="20"/>
  <c r="O219" i="20"/>
  <c r="D168" i="20"/>
  <c r="D162" i="20"/>
  <c r="C162" i="20"/>
  <c r="D161" i="20"/>
  <c r="A161" i="20"/>
  <c r="O160" i="20"/>
  <c r="A160" i="20"/>
  <c r="O159" i="20"/>
  <c r="C159" i="20"/>
  <c r="B159" i="20"/>
  <c r="O158" i="20"/>
  <c r="C158" i="20"/>
  <c r="O157" i="20"/>
  <c r="E157" i="20"/>
  <c r="D157" i="20"/>
  <c r="B154" i="20"/>
  <c r="B156" i="20" s="1"/>
  <c r="A154" i="20"/>
  <c r="B162" i="20" s="1"/>
  <c r="F150" i="20"/>
  <c r="E150" i="20"/>
  <c r="D150" i="20"/>
  <c r="C150" i="20"/>
  <c r="B150" i="20"/>
  <c r="D170" i="20" s="1"/>
  <c r="F149" i="20"/>
  <c r="E149" i="20"/>
  <c r="D149" i="20"/>
  <c r="C149" i="20"/>
  <c r="B149" i="20"/>
  <c r="D169" i="20" s="1"/>
  <c r="F148" i="20"/>
  <c r="E148" i="20"/>
  <c r="D148" i="20"/>
  <c r="C148" i="20"/>
  <c r="B148" i="20"/>
  <c r="F147" i="20"/>
  <c r="E147" i="20"/>
  <c r="D147" i="20"/>
  <c r="C147" i="20"/>
  <c r="B147" i="20"/>
  <c r="D167" i="20" s="1"/>
  <c r="F146" i="20"/>
  <c r="E146" i="20"/>
  <c r="D146" i="20"/>
  <c r="C146" i="20"/>
  <c r="B146" i="20"/>
  <c r="D166" i="20" s="1"/>
  <c r="H141" i="20"/>
  <c r="F141" i="20"/>
  <c r="E141" i="20"/>
  <c r="D141" i="20"/>
  <c r="C141" i="20"/>
  <c r="H140" i="20"/>
  <c r="F140" i="20"/>
  <c r="E140" i="20"/>
  <c r="D140" i="20"/>
  <c r="C140" i="20"/>
  <c r="H139" i="20"/>
  <c r="F139" i="20"/>
  <c r="E139" i="20"/>
  <c r="D139" i="20"/>
  <c r="C139" i="20"/>
  <c r="H138" i="20"/>
  <c r="G138" i="20"/>
  <c r="F138" i="20"/>
  <c r="E138" i="20"/>
  <c r="D138" i="20"/>
  <c r="C138" i="20"/>
  <c r="H137" i="20"/>
  <c r="F137" i="20"/>
  <c r="E137" i="20"/>
  <c r="D137" i="20"/>
  <c r="C137" i="20"/>
  <c r="H136" i="20"/>
  <c r="F136" i="20"/>
  <c r="E136" i="20"/>
  <c r="D136" i="20"/>
  <c r="C136" i="20"/>
  <c r="H135" i="20"/>
  <c r="F135" i="20"/>
  <c r="E135" i="20"/>
  <c r="D135" i="20"/>
  <c r="C135" i="20"/>
  <c r="H134" i="20"/>
  <c r="G134" i="20"/>
  <c r="F134" i="20"/>
  <c r="E134" i="20"/>
  <c r="D134" i="20"/>
  <c r="C134" i="20"/>
  <c r="H133" i="20"/>
  <c r="F133" i="20"/>
  <c r="E133" i="20"/>
  <c r="D133" i="20"/>
  <c r="C133" i="20"/>
  <c r="H132" i="20"/>
  <c r="F132" i="20"/>
  <c r="E132" i="20"/>
  <c r="D132" i="20"/>
  <c r="C132" i="20"/>
  <c r="H131" i="20"/>
  <c r="F131" i="20"/>
  <c r="E131" i="20"/>
  <c r="D131" i="20"/>
  <c r="C131" i="20"/>
  <c r="H130" i="20"/>
  <c r="G130" i="20"/>
  <c r="F130" i="20"/>
  <c r="E130" i="20"/>
  <c r="D130" i="20"/>
  <c r="C130" i="20"/>
  <c r="H129" i="20"/>
  <c r="F129" i="20"/>
  <c r="E129" i="20"/>
  <c r="D129" i="20"/>
  <c r="C129" i="20"/>
  <c r="H128" i="20"/>
  <c r="F128" i="20"/>
  <c r="E128" i="20"/>
  <c r="D128" i="20"/>
  <c r="C128" i="20"/>
  <c r="H127" i="20"/>
  <c r="F127" i="20"/>
  <c r="E127" i="20"/>
  <c r="D127" i="20"/>
  <c r="C127" i="20"/>
  <c r="H126" i="20"/>
  <c r="G126" i="20"/>
  <c r="F126" i="20"/>
  <c r="E126" i="20"/>
  <c r="D126" i="20"/>
  <c r="C126" i="20"/>
  <c r="H125" i="20"/>
  <c r="F125" i="20"/>
  <c r="E125" i="20"/>
  <c r="D125" i="20"/>
  <c r="C125" i="20"/>
  <c r="H124" i="20"/>
  <c r="F124" i="20"/>
  <c r="E124" i="20"/>
  <c r="D124" i="20"/>
  <c r="C124" i="20"/>
  <c r="H123" i="20"/>
  <c r="F123" i="20"/>
  <c r="E123" i="20"/>
  <c r="D123" i="20"/>
  <c r="C123" i="20"/>
  <c r="H122" i="20"/>
  <c r="G122" i="20"/>
  <c r="F122" i="20"/>
  <c r="E122" i="20"/>
  <c r="D122" i="20"/>
  <c r="C122" i="20"/>
  <c r="H121" i="20"/>
  <c r="F121" i="20"/>
  <c r="E121" i="20"/>
  <c r="D121" i="20"/>
  <c r="C121" i="20"/>
  <c r="H120" i="20"/>
  <c r="F120" i="20"/>
  <c r="E120" i="20"/>
  <c r="D120" i="20"/>
  <c r="C120" i="20"/>
  <c r="H119" i="20"/>
  <c r="F119" i="20"/>
  <c r="E119" i="20"/>
  <c r="D119" i="20"/>
  <c r="C119" i="20"/>
  <c r="H118" i="20"/>
  <c r="G118" i="20"/>
  <c r="F118" i="20"/>
  <c r="E118" i="20"/>
  <c r="D118" i="20"/>
  <c r="C118" i="20"/>
  <c r="H117" i="20"/>
  <c r="F117" i="20"/>
  <c r="E117" i="20"/>
  <c r="D117" i="20"/>
  <c r="C117" i="20"/>
  <c r="H116" i="20"/>
  <c r="F116" i="20"/>
  <c r="E116" i="20"/>
  <c r="D116" i="20"/>
  <c r="C116" i="20"/>
  <c r="H115" i="20"/>
  <c r="F115" i="20"/>
  <c r="E115" i="20"/>
  <c r="D115" i="20"/>
  <c r="C115" i="20"/>
  <c r="H114" i="20"/>
  <c r="F114" i="20"/>
  <c r="E114" i="20"/>
  <c r="D114" i="20"/>
  <c r="C114" i="20"/>
  <c r="H113" i="20"/>
  <c r="F113" i="20"/>
  <c r="E113" i="20"/>
  <c r="D113" i="20"/>
  <c r="C113" i="20"/>
  <c r="H112" i="20"/>
  <c r="F112" i="20"/>
  <c r="E112" i="20"/>
  <c r="D112" i="20"/>
  <c r="C112" i="20"/>
  <c r="H111" i="20"/>
  <c r="F111" i="20"/>
  <c r="E111" i="20"/>
  <c r="D111" i="20"/>
  <c r="C111" i="20"/>
  <c r="H110" i="20"/>
  <c r="F110" i="20"/>
  <c r="E110" i="20"/>
  <c r="D110" i="20"/>
  <c r="C110" i="20"/>
  <c r="H109" i="20"/>
  <c r="F109" i="20"/>
  <c r="E109" i="20"/>
  <c r="D109" i="20"/>
  <c r="C109" i="20"/>
  <c r="H108" i="20"/>
  <c r="F108" i="20"/>
  <c r="E108" i="20"/>
  <c r="D108" i="20"/>
  <c r="C108" i="20"/>
  <c r="H107" i="20"/>
  <c r="F107" i="20"/>
  <c r="E107" i="20"/>
  <c r="D107" i="20"/>
  <c r="C107" i="20"/>
  <c r="H106" i="20"/>
  <c r="G106" i="20"/>
  <c r="F106" i="20"/>
  <c r="E106" i="20"/>
  <c r="D106" i="20"/>
  <c r="C106" i="20"/>
  <c r="H105" i="20"/>
  <c r="F105" i="20"/>
  <c r="E105" i="20"/>
  <c r="D105" i="20"/>
  <c r="C105" i="20"/>
  <c r="H104" i="20"/>
  <c r="F104" i="20"/>
  <c r="E104" i="20"/>
  <c r="D104" i="20"/>
  <c r="C104" i="20"/>
  <c r="H103" i="20"/>
  <c r="F103" i="20"/>
  <c r="E103" i="20"/>
  <c r="D103" i="20"/>
  <c r="C103" i="20"/>
  <c r="H102" i="20"/>
  <c r="G102" i="20"/>
  <c r="F102" i="20"/>
  <c r="E102" i="20"/>
  <c r="D102" i="20"/>
  <c r="C102" i="20"/>
  <c r="H101" i="20"/>
  <c r="F101" i="20"/>
  <c r="E101" i="20"/>
  <c r="D101" i="20"/>
  <c r="C101" i="20"/>
  <c r="H100" i="20"/>
  <c r="F100" i="20"/>
  <c r="E100" i="20"/>
  <c r="D100" i="20"/>
  <c r="C100" i="20"/>
  <c r="H99" i="20"/>
  <c r="F160" i="20" s="1"/>
  <c r="F99" i="20"/>
  <c r="E99" i="20"/>
  <c r="D99" i="20"/>
  <c r="C99" i="20"/>
  <c r="H98" i="20"/>
  <c r="G98" i="20"/>
  <c r="F98" i="20"/>
  <c r="E98" i="20"/>
  <c r="D98" i="20"/>
  <c r="C98" i="20"/>
  <c r="H97" i="20"/>
  <c r="F97" i="20"/>
  <c r="E97" i="20"/>
  <c r="D97" i="20"/>
  <c r="C97" i="20"/>
  <c r="H96" i="20"/>
  <c r="F96" i="20"/>
  <c r="E96" i="20"/>
  <c r="D96" i="20"/>
  <c r="C96" i="20"/>
  <c r="H95" i="20"/>
  <c r="F95" i="20"/>
  <c r="E95" i="20"/>
  <c r="D95" i="20"/>
  <c r="C95" i="20"/>
  <c r="H94" i="20"/>
  <c r="G94" i="20"/>
  <c r="F94" i="20"/>
  <c r="E94" i="20"/>
  <c r="D94" i="20"/>
  <c r="C94" i="20"/>
  <c r="H93" i="20"/>
  <c r="F93" i="20"/>
  <c r="E93" i="20"/>
  <c r="D93" i="20"/>
  <c r="C93" i="20"/>
  <c r="H92" i="20"/>
  <c r="F92" i="20"/>
  <c r="E92" i="20"/>
  <c r="D92" i="20"/>
  <c r="C92" i="20"/>
  <c r="H91" i="20"/>
  <c r="F91" i="20"/>
  <c r="E91" i="20"/>
  <c r="D91" i="20"/>
  <c r="C91" i="20"/>
  <c r="H90" i="20"/>
  <c r="G90" i="20"/>
  <c r="F90" i="20"/>
  <c r="E90" i="20"/>
  <c r="D90" i="20"/>
  <c r="C90" i="20"/>
  <c r="H89" i="20"/>
  <c r="F89" i="20"/>
  <c r="E89" i="20"/>
  <c r="D89" i="20"/>
  <c r="C89" i="20"/>
  <c r="H88" i="20"/>
  <c r="F88" i="20"/>
  <c r="E88" i="20"/>
  <c r="D88" i="20"/>
  <c r="C88" i="20"/>
  <c r="H87" i="20"/>
  <c r="F87" i="20"/>
  <c r="E87" i="20"/>
  <c r="D87" i="20"/>
  <c r="C87" i="20"/>
  <c r="H86" i="20"/>
  <c r="G86" i="20"/>
  <c r="F86" i="20"/>
  <c r="E86" i="20"/>
  <c r="D86" i="20"/>
  <c r="C86" i="20"/>
  <c r="H85" i="20"/>
  <c r="F85" i="20"/>
  <c r="E85" i="20"/>
  <c r="D85" i="20"/>
  <c r="C85" i="20"/>
  <c r="H84" i="20"/>
  <c r="F84" i="20"/>
  <c r="E84" i="20"/>
  <c r="D84" i="20"/>
  <c r="C84" i="20"/>
  <c r="H83" i="20"/>
  <c r="F159" i="20" s="1"/>
  <c r="F83" i="20"/>
  <c r="E83" i="20"/>
  <c r="D83" i="20"/>
  <c r="C83" i="20"/>
  <c r="H82" i="20"/>
  <c r="F82" i="20"/>
  <c r="E82" i="20"/>
  <c r="D82" i="20"/>
  <c r="C82" i="20"/>
  <c r="H81" i="20"/>
  <c r="F81" i="20"/>
  <c r="E81" i="20"/>
  <c r="D81" i="20"/>
  <c r="C81" i="20"/>
  <c r="H80" i="20"/>
  <c r="F80" i="20"/>
  <c r="E80" i="20"/>
  <c r="D80" i="20"/>
  <c r="C80" i="20"/>
  <c r="H79" i="20"/>
  <c r="F79" i="20"/>
  <c r="E79" i="20"/>
  <c r="D79" i="20"/>
  <c r="C79" i="20"/>
  <c r="H78" i="20"/>
  <c r="F78" i="20"/>
  <c r="E78" i="20"/>
  <c r="D78" i="20"/>
  <c r="C78" i="20"/>
  <c r="H77" i="20"/>
  <c r="F77" i="20"/>
  <c r="E77" i="20"/>
  <c r="D77" i="20"/>
  <c r="C77" i="20"/>
  <c r="H76" i="20"/>
  <c r="F76" i="20"/>
  <c r="E76" i="20"/>
  <c r="D76" i="20"/>
  <c r="C76" i="20"/>
  <c r="H75" i="20"/>
  <c r="F75" i="20"/>
  <c r="E75" i="20"/>
  <c r="D75" i="20"/>
  <c r="C75" i="20"/>
  <c r="H74" i="20"/>
  <c r="G74" i="20"/>
  <c r="F74" i="20"/>
  <c r="E74" i="20"/>
  <c r="D74" i="20"/>
  <c r="C74" i="20"/>
  <c r="H73" i="20"/>
  <c r="F73" i="20"/>
  <c r="E73" i="20"/>
  <c r="D73" i="20"/>
  <c r="C73" i="20"/>
  <c r="H72" i="20"/>
  <c r="F72" i="20"/>
  <c r="E72" i="20"/>
  <c r="D72" i="20"/>
  <c r="C72" i="20"/>
  <c r="H71" i="20"/>
  <c r="F71" i="20"/>
  <c r="E71" i="20"/>
  <c r="D71" i="20"/>
  <c r="C71" i="20"/>
  <c r="H70" i="20"/>
  <c r="G70" i="20"/>
  <c r="F70" i="20"/>
  <c r="E70" i="20"/>
  <c r="D70" i="20"/>
  <c r="C70" i="20"/>
  <c r="H69" i="20"/>
  <c r="F69" i="20"/>
  <c r="E69" i="20"/>
  <c r="D69" i="20"/>
  <c r="C69" i="20"/>
  <c r="H68" i="20"/>
  <c r="F68" i="20"/>
  <c r="E68" i="20"/>
  <c r="D68" i="20"/>
  <c r="C68" i="20"/>
  <c r="H67" i="20"/>
  <c r="F67" i="20"/>
  <c r="E67" i="20"/>
  <c r="D67" i="20"/>
  <c r="C67" i="20"/>
  <c r="H66" i="20"/>
  <c r="G66" i="20"/>
  <c r="F66" i="20"/>
  <c r="E66" i="20"/>
  <c r="D66" i="20"/>
  <c r="C66" i="20"/>
  <c r="H65" i="20"/>
  <c r="F65" i="20"/>
  <c r="E65" i="20"/>
  <c r="D65" i="20"/>
  <c r="C65" i="20"/>
  <c r="H64" i="20"/>
  <c r="F64" i="20"/>
  <c r="E64" i="20"/>
  <c r="D64" i="20"/>
  <c r="C64" i="20"/>
  <c r="H63" i="20"/>
  <c r="F63" i="20"/>
  <c r="E63" i="20"/>
  <c r="D63" i="20"/>
  <c r="C63" i="20"/>
  <c r="H62" i="20"/>
  <c r="G62" i="20"/>
  <c r="F62" i="20"/>
  <c r="E62" i="20"/>
  <c r="D62" i="20"/>
  <c r="C62" i="20"/>
  <c r="H61" i="20"/>
  <c r="G61" i="20"/>
  <c r="F61" i="20"/>
  <c r="E61" i="20"/>
  <c r="D61" i="20"/>
  <c r="C61" i="20"/>
  <c r="H60" i="20"/>
  <c r="G60" i="20"/>
  <c r="F60" i="20"/>
  <c r="E60" i="20"/>
  <c r="D60" i="20"/>
  <c r="C60" i="20"/>
  <c r="H59" i="20"/>
  <c r="G59" i="20"/>
  <c r="F59" i="20"/>
  <c r="E59" i="20"/>
  <c r="D59" i="20"/>
  <c r="C59" i="20"/>
  <c r="H58" i="20"/>
  <c r="G58" i="20"/>
  <c r="F58" i="20"/>
  <c r="E58" i="20"/>
  <c r="D58" i="20"/>
  <c r="C58" i="20"/>
  <c r="H57" i="20"/>
  <c r="G57" i="20"/>
  <c r="F57" i="20"/>
  <c r="E57" i="20"/>
  <c r="D57" i="20"/>
  <c r="C57" i="20"/>
  <c r="H56" i="20"/>
  <c r="G56" i="20"/>
  <c r="F56" i="20"/>
  <c r="E56" i="20"/>
  <c r="D56" i="20"/>
  <c r="C56" i="20"/>
  <c r="H55" i="20"/>
  <c r="G55" i="20"/>
  <c r="F55" i="20"/>
  <c r="E55" i="20"/>
  <c r="D55" i="20"/>
  <c r="C55" i="20"/>
  <c r="H54" i="20"/>
  <c r="G54" i="20"/>
  <c r="F54" i="20"/>
  <c r="E54" i="20"/>
  <c r="D54" i="20"/>
  <c r="C54" i="20"/>
  <c r="H53" i="20"/>
  <c r="G53" i="20"/>
  <c r="F53" i="20"/>
  <c r="E53" i="20"/>
  <c r="D53" i="20"/>
  <c r="C53" i="20"/>
  <c r="H52" i="20"/>
  <c r="G52" i="20"/>
  <c r="F52" i="20"/>
  <c r="E52" i="20"/>
  <c r="D52" i="20"/>
  <c r="C52" i="20"/>
  <c r="H51" i="20"/>
  <c r="G51" i="20"/>
  <c r="F51" i="20"/>
  <c r="E51" i="20"/>
  <c r="D51" i="20"/>
  <c r="C51" i="20"/>
  <c r="H50" i="20"/>
  <c r="G50" i="20"/>
  <c r="F50" i="20"/>
  <c r="E50" i="20"/>
  <c r="D50" i="20"/>
  <c r="C50" i="20"/>
  <c r="H49" i="20"/>
  <c r="G49" i="20"/>
  <c r="F49" i="20"/>
  <c r="E49" i="20"/>
  <c r="D49" i="20"/>
  <c r="C49" i="20"/>
  <c r="H48" i="20"/>
  <c r="G48" i="20"/>
  <c r="F48" i="20"/>
  <c r="E48" i="20"/>
  <c r="D48" i="20"/>
  <c r="C48" i="20"/>
  <c r="H47" i="20"/>
  <c r="G47" i="20"/>
  <c r="F47" i="20"/>
  <c r="E47" i="20"/>
  <c r="D47" i="20"/>
  <c r="C47" i="20"/>
  <c r="H46" i="20"/>
  <c r="G46" i="20"/>
  <c r="F46" i="20"/>
  <c r="E46" i="20"/>
  <c r="D46" i="20"/>
  <c r="C46" i="20"/>
  <c r="Z40" i="20"/>
  <c r="G141" i="20" s="1"/>
  <c r="S40" i="20"/>
  <c r="G137" i="20" s="1"/>
  <c r="L40" i="20"/>
  <c r="G133" i="20" s="1"/>
  <c r="E40" i="20"/>
  <c r="G129" i="20" s="1"/>
  <c r="Z39" i="20"/>
  <c r="G125" i="20" s="1"/>
  <c r="S39" i="20"/>
  <c r="G121" i="20" s="1"/>
  <c r="L39" i="20"/>
  <c r="G117" i="20" s="1"/>
  <c r="E39" i="20"/>
  <c r="G113" i="20" s="1"/>
  <c r="Z38" i="20"/>
  <c r="G109" i="20" s="1"/>
  <c r="S38" i="20"/>
  <c r="G105" i="20" s="1"/>
  <c r="L38" i="20"/>
  <c r="G101" i="20" s="1"/>
  <c r="E38" i="20"/>
  <c r="G97" i="20" s="1"/>
  <c r="Z37" i="20"/>
  <c r="G93" i="20" s="1"/>
  <c r="S37" i="20"/>
  <c r="G89" i="20" s="1"/>
  <c r="L37" i="20"/>
  <c r="G85" i="20" s="1"/>
  <c r="E37" i="20"/>
  <c r="G81" i="20" s="1"/>
  <c r="Z36" i="20"/>
  <c r="G77" i="20" s="1"/>
  <c r="S36" i="20"/>
  <c r="G73" i="20" s="1"/>
  <c r="L36" i="20"/>
  <c r="G69" i="20" s="1"/>
  <c r="E36" i="20"/>
  <c r="G65" i="20" s="1"/>
  <c r="B34" i="20"/>
  <c r="Z30" i="20"/>
  <c r="G140" i="20" s="1"/>
  <c r="S30" i="20"/>
  <c r="G136" i="20" s="1"/>
  <c r="L30" i="20"/>
  <c r="G132" i="20" s="1"/>
  <c r="E30" i="20"/>
  <c r="G128" i="20" s="1"/>
  <c r="Z29" i="20"/>
  <c r="G124" i="20" s="1"/>
  <c r="S29" i="20"/>
  <c r="G120" i="20" s="1"/>
  <c r="L29" i="20"/>
  <c r="G116" i="20" s="1"/>
  <c r="E29" i="20"/>
  <c r="G112" i="20" s="1"/>
  <c r="Z28" i="20"/>
  <c r="G108" i="20" s="1"/>
  <c r="S28" i="20"/>
  <c r="G104" i="20" s="1"/>
  <c r="L28" i="20"/>
  <c r="G100" i="20" s="1"/>
  <c r="E28" i="20"/>
  <c r="G96" i="20" s="1"/>
  <c r="Z27" i="20"/>
  <c r="G92" i="20" s="1"/>
  <c r="S27" i="20"/>
  <c r="G88" i="20" s="1"/>
  <c r="L27" i="20"/>
  <c r="G84" i="20" s="1"/>
  <c r="E27" i="20"/>
  <c r="G80" i="20" s="1"/>
  <c r="Z26" i="20"/>
  <c r="G76" i="20" s="1"/>
  <c r="S26" i="20"/>
  <c r="G72" i="20" s="1"/>
  <c r="L26" i="20"/>
  <c r="G68" i="20" s="1"/>
  <c r="E26" i="20"/>
  <c r="G64" i="20" s="1"/>
  <c r="Z20" i="20"/>
  <c r="G139" i="20" s="1"/>
  <c r="S20" i="20"/>
  <c r="G135" i="20" s="1"/>
  <c r="L20" i="20"/>
  <c r="G131" i="20" s="1"/>
  <c r="E20" i="20"/>
  <c r="G127" i="20" s="1"/>
  <c r="Z19" i="20"/>
  <c r="G123" i="20" s="1"/>
  <c r="S19" i="20"/>
  <c r="G119" i="20" s="1"/>
  <c r="L19" i="20"/>
  <c r="G115" i="20" s="1"/>
  <c r="E19" i="20"/>
  <c r="G111" i="20" s="1"/>
  <c r="Z18" i="20"/>
  <c r="G107" i="20" s="1"/>
  <c r="S18" i="20"/>
  <c r="G103" i="20" s="1"/>
  <c r="L18" i="20"/>
  <c r="G99" i="20" s="1"/>
  <c r="E160" i="20" s="1"/>
  <c r="E18" i="20"/>
  <c r="G95" i="20" s="1"/>
  <c r="Z17" i="20"/>
  <c r="G91" i="20" s="1"/>
  <c r="S17" i="20"/>
  <c r="G87" i="20" s="1"/>
  <c r="L17" i="20"/>
  <c r="G83" i="20" s="1"/>
  <c r="E17" i="20"/>
  <c r="G79" i="20" s="1"/>
  <c r="Z16" i="20"/>
  <c r="G75" i="20" s="1"/>
  <c r="S16" i="20"/>
  <c r="G71" i="20" s="1"/>
  <c r="L16" i="20"/>
  <c r="G67" i="20" s="1"/>
  <c r="E16" i="20"/>
  <c r="G63" i="20" s="1"/>
  <c r="Z10" i="20"/>
  <c r="S10" i="20"/>
  <c r="L10" i="20"/>
  <c r="E10" i="20"/>
  <c r="Z9" i="20"/>
  <c r="S9" i="20"/>
  <c r="L9" i="20"/>
  <c r="G114" i="20" s="1"/>
  <c r="E9" i="20"/>
  <c r="G110" i="20" s="1"/>
  <c r="Z8" i="20"/>
  <c r="S8" i="20"/>
  <c r="L8" i="20"/>
  <c r="E8" i="20"/>
  <c r="Z7" i="20"/>
  <c r="S7" i="20"/>
  <c r="L7" i="20"/>
  <c r="G82" i="20" s="1"/>
  <c r="E7" i="20"/>
  <c r="G78" i="20" s="1"/>
  <c r="Z6" i="20"/>
  <c r="S6" i="20"/>
  <c r="L6" i="20"/>
  <c r="E6" i="20"/>
  <c r="I158" i="20" l="1"/>
  <c r="I159" i="20"/>
  <c r="I156" i="20"/>
  <c r="I160" i="20"/>
  <c r="A244" i="20"/>
  <c r="A246" i="20" s="1"/>
  <c r="A249" i="20" s="1"/>
  <c r="B60" i="12" s="1"/>
  <c r="A243" i="20"/>
  <c r="F2" i="12" s="1"/>
  <c r="C156" i="20"/>
  <c r="F157" i="20"/>
  <c r="A158" i="20"/>
  <c r="D159" i="20"/>
  <c r="B161" i="20"/>
  <c r="E162" i="20"/>
  <c r="D156" i="20"/>
  <c r="I157" i="20"/>
  <c r="B158" i="20"/>
  <c r="E159" i="20"/>
  <c r="C161" i="20"/>
  <c r="F162" i="20"/>
  <c r="A157" i="20"/>
  <c r="D158" i="20"/>
  <c r="B160" i="20"/>
  <c r="E161" i="20"/>
  <c r="B157" i="20"/>
  <c r="J160" i="20" s="1"/>
  <c r="C170" i="20" s="1"/>
  <c r="E158" i="20"/>
  <c r="C160" i="20"/>
  <c r="F161" i="20"/>
  <c r="A162" i="20"/>
  <c r="C157" i="20"/>
  <c r="F158" i="20"/>
  <c r="A159" i="20"/>
  <c r="D160" i="20"/>
  <c r="G170" i="20" l="1"/>
  <c r="H170" i="20" s="1"/>
  <c r="J170" i="20" s="1"/>
  <c r="L160" i="20"/>
  <c r="K160" i="20"/>
  <c r="E170" i="20"/>
  <c r="F170" i="20" s="1"/>
  <c r="J158" i="20"/>
  <c r="C168" i="20" s="1"/>
  <c r="J159" i="20"/>
  <c r="C169" i="20" s="1"/>
  <c r="J157" i="20"/>
  <c r="C167" i="20" s="1"/>
  <c r="J156" i="20"/>
  <c r="C166" i="20" s="1"/>
  <c r="F39" i="8" s="1"/>
  <c r="K159" i="20" l="1"/>
  <c r="G169" i="20"/>
  <c r="H169" i="20" s="1"/>
  <c r="J169" i="20" s="1"/>
  <c r="L159" i="20"/>
  <c r="E169" i="20"/>
  <c r="F169" i="20" s="1"/>
  <c r="G167" i="20"/>
  <c r="H167" i="20" s="1"/>
  <c r="J167" i="20" s="1"/>
  <c r="L157" i="20"/>
  <c r="K157" i="20"/>
  <c r="E167" i="20"/>
  <c r="F167" i="20" s="1"/>
  <c r="G168" i="20"/>
  <c r="H168" i="20" s="1"/>
  <c r="J168" i="20" s="1"/>
  <c r="L158" i="20"/>
  <c r="K158" i="20"/>
  <c r="E168" i="20"/>
  <c r="F168" i="20" s="1"/>
  <c r="M160" i="20"/>
  <c r="M170" i="20" s="1"/>
  <c r="K170" i="20"/>
  <c r="L156" i="20"/>
  <c r="K156" i="20"/>
  <c r="G166" i="20"/>
  <c r="E166" i="20"/>
  <c r="F166" i="20" s="1"/>
  <c r="H166" i="20" l="1"/>
  <c r="N39" i="8" s="1"/>
  <c r="H39" i="8"/>
  <c r="M157" i="20"/>
  <c r="M167" i="20" s="1"/>
  <c r="K167" i="20"/>
  <c r="K166" i="20"/>
  <c r="D38" i="14" s="1"/>
  <c r="M156" i="20"/>
  <c r="M166" i="20" s="1"/>
  <c r="D37" i="14" s="1"/>
  <c r="M159" i="20"/>
  <c r="M169" i="20" s="1"/>
  <c r="K169" i="20"/>
  <c r="K168" i="20"/>
  <c r="M158" i="20"/>
  <c r="M168" i="20" s="1"/>
  <c r="J34" i="7" l="1"/>
  <c r="B48" i="25"/>
  <c r="A18" i="25" s="1"/>
  <c r="B41" i="25"/>
  <c r="E24" i="25"/>
  <c r="D21" i="25"/>
  <c r="D19" i="25"/>
  <c r="A19" i="25"/>
  <c r="E40" i="7"/>
  <c r="E41" i="7"/>
  <c r="E42" i="7"/>
  <c r="E43" i="7"/>
  <c r="E39" i="7"/>
  <c r="E34" i="7"/>
  <c r="E33" i="7"/>
  <c r="M272" i="23"/>
  <c r="M271" i="23"/>
  <c r="M270" i="23"/>
  <c r="M268" i="23"/>
  <c r="H278" i="23" s="1"/>
  <c r="A298" i="23"/>
  <c r="A311" i="23" s="1"/>
  <c r="K310" i="23"/>
  <c r="J310" i="23"/>
  <c r="I310" i="23"/>
  <c r="K309" i="23"/>
  <c r="J309" i="23"/>
  <c r="I309" i="23"/>
  <c r="K308" i="23"/>
  <c r="J308" i="23"/>
  <c r="I308" i="23"/>
  <c r="K307" i="23"/>
  <c r="J307" i="23"/>
  <c r="I307" i="23"/>
  <c r="K306" i="23"/>
  <c r="J306" i="23"/>
  <c r="I306" i="23"/>
  <c r="K305" i="23"/>
  <c r="J305" i="23"/>
  <c r="I305" i="23"/>
  <c r="K304" i="23"/>
  <c r="J304" i="23"/>
  <c r="I304" i="23"/>
  <c r="K303" i="23"/>
  <c r="J303" i="23"/>
  <c r="I303" i="23"/>
  <c r="K302" i="23"/>
  <c r="J302" i="23"/>
  <c r="I302" i="23"/>
  <c r="K301" i="23"/>
  <c r="J301" i="23"/>
  <c r="I301" i="23"/>
  <c r="K300" i="23"/>
  <c r="J300" i="23"/>
  <c r="I300" i="23"/>
  <c r="K299" i="23"/>
  <c r="J299" i="23"/>
  <c r="I299" i="23"/>
  <c r="A289" i="23"/>
  <c r="A283" i="23"/>
  <c r="A275" i="23"/>
  <c r="H282" i="23"/>
  <c r="A267" i="23"/>
  <c r="Q262" i="23"/>
  <c r="O262" i="23"/>
  <c r="N262" i="23"/>
  <c r="M262" i="23"/>
  <c r="L262" i="23"/>
  <c r="H262" i="23"/>
  <c r="F262" i="23"/>
  <c r="E262" i="23"/>
  <c r="D262" i="23"/>
  <c r="C262" i="23"/>
  <c r="Q261" i="23"/>
  <c r="O261" i="23"/>
  <c r="N261" i="23"/>
  <c r="M261" i="23"/>
  <c r="L261" i="23"/>
  <c r="H261" i="23"/>
  <c r="F261" i="23"/>
  <c r="E261" i="23"/>
  <c r="D261" i="23"/>
  <c r="C261" i="23"/>
  <c r="Q260" i="23"/>
  <c r="O260" i="23"/>
  <c r="N260" i="23"/>
  <c r="M260" i="23"/>
  <c r="L260" i="23"/>
  <c r="H260" i="23"/>
  <c r="F260" i="23"/>
  <c r="E260" i="23"/>
  <c r="D260" i="23"/>
  <c r="C260" i="23"/>
  <c r="O259" i="23"/>
  <c r="N259" i="23"/>
  <c r="M259" i="23"/>
  <c r="L259" i="23"/>
  <c r="F259" i="23"/>
  <c r="E259" i="23"/>
  <c r="D259" i="23"/>
  <c r="C259" i="23"/>
  <c r="O258" i="23"/>
  <c r="N258" i="23"/>
  <c r="M258" i="23"/>
  <c r="L258" i="23"/>
  <c r="F258" i="23"/>
  <c r="E258" i="23"/>
  <c r="D258" i="23"/>
  <c r="C258" i="23"/>
  <c r="O257" i="23"/>
  <c r="N257" i="23"/>
  <c r="M257" i="23"/>
  <c r="L257" i="23"/>
  <c r="F257" i="23"/>
  <c r="E257" i="23"/>
  <c r="D257" i="23"/>
  <c r="C257" i="23"/>
  <c r="O256" i="23"/>
  <c r="N256" i="23"/>
  <c r="M256" i="23"/>
  <c r="L256" i="23"/>
  <c r="F256" i="23"/>
  <c r="E256" i="23"/>
  <c r="D256" i="23"/>
  <c r="C256" i="23"/>
  <c r="O255" i="23"/>
  <c r="N255" i="23"/>
  <c r="M255" i="23"/>
  <c r="L255" i="23"/>
  <c r="F255" i="23"/>
  <c r="E255" i="23"/>
  <c r="D255" i="23"/>
  <c r="C255" i="23"/>
  <c r="O254" i="23"/>
  <c r="N254" i="23"/>
  <c r="M254" i="23"/>
  <c r="L254" i="23"/>
  <c r="F254" i="23"/>
  <c r="E254" i="23"/>
  <c r="D254" i="23"/>
  <c r="C254" i="23"/>
  <c r="O253" i="23"/>
  <c r="N253" i="23"/>
  <c r="M253" i="23"/>
  <c r="L253" i="23"/>
  <c r="F253" i="23"/>
  <c r="E253" i="23"/>
  <c r="D253" i="23"/>
  <c r="C253" i="23"/>
  <c r="O252" i="23"/>
  <c r="N252" i="23"/>
  <c r="M252" i="23"/>
  <c r="L252" i="23"/>
  <c r="F252" i="23"/>
  <c r="E252" i="23"/>
  <c r="D252" i="23"/>
  <c r="C252" i="23"/>
  <c r="O251" i="23"/>
  <c r="N251" i="23"/>
  <c r="M251" i="23"/>
  <c r="L251" i="23"/>
  <c r="F251" i="23"/>
  <c r="E251" i="23"/>
  <c r="D251" i="23"/>
  <c r="C251" i="23"/>
  <c r="Q249" i="23"/>
  <c r="O249" i="23"/>
  <c r="N249" i="23"/>
  <c r="M249" i="23"/>
  <c r="L249" i="23"/>
  <c r="H249" i="23"/>
  <c r="F249" i="23"/>
  <c r="E249" i="23"/>
  <c r="D249" i="23"/>
  <c r="C249" i="23"/>
  <c r="Q248" i="23"/>
  <c r="O248" i="23"/>
  <c r="N248" i="23"/>
  <c r="M248" i="23"/>
  <c r="L248" i="23"/>
  <c r="H248" i="23"/>
  <c r="F248" i="23"/>
  <c r="E248" i="23"/>
  <c r="D248" i="23"/>
  <c r="C248" i="23"/>
  <c r="Q247" i="23"/>
  <c r="O247" i="23"/>
  <c r="N247" i="23"/>
  <c r="M247" i="23"/>
  <c r="L247" i="23"/>
  <c r="H247" i="23"/>
  <c r="F247" i="23"/>
  <c r="E247" i="23"/>
  <c r="D247" i="23"/>
  <c r="C247" i="23"/>
  <c r="O246" i="23"/>
  <c r="N246" i="23"/>
  <c r="M246" i="23"/>
  <c r="L246" i="23"/>
  <c r="F246" i="23"/>
  <c r="E246" i="23"/>
  <c r="D246" i="23"/>
  <c r="C246" i="23"/>
  <c r="O245" i="23"/>
  <c r="N245" i="23"/>
  <c r="M245" i="23"/>
  <c r="L245" i="23"/>
  <c r="F245" i="23"/>
  <c r="E245" i="23"/>
  <c r="D245" i="23"/>
  <c r="C245" i="23"/>
  <c r="O244" i="23"/>
  <c r="N244" i="23"/>
  <c r="M244" i="23"/>
  <c r="L244" i="23"/>
  <c r="F244" i="23"/>
  <c r="E244" i="23"/>
  <c r="D244" i="23"/>
  <c r="C244" i="23"/>
  <c r="O243" i="23"/>
  <c r="N243" i="23"/>
  <c r="M243" i="23"/>
  <c r="L243" i="23"/>
  <c r="F243" i="23"/>
  <c r="E243" i="23"/>
  <c r="D243" i="23"/>
  <c r="C243" i="23"/>
  <c r="O242" i="23"/>
  <c r="N242" i="23"/>
  <c r="M242" i="23"/>
  <c r="L242" i="23"/>
  <c r="G242" i="23"/>
  <c r="F242" i="23"/>
  <c r="E242" i="23"/>
  <c r="D242" i="23"/>
  <c r="C242" i="23"/>
  <c r="O241" i="23"/>
  <c r="N241" i="23"/>
  <c r="M241" i="23"/>
  <c r="L241" i="23"/>
  <c r="F241" i="23"/>
  <c r="E241" i="23"/>
  <c r="D241" i="23"/>
  <c r="C241" i="23"/>
  <c r="O240" i="23"/>
  <c r="N240" i="23"/>
  <c r="M240" i="23"/>
  <c r="L240" i="23"/>
  <c r="F240" i="23"/>
  <c r="E240" i="23"/>
  <c r="D240" i="23"/>
  <c r="C240" i="23"/>
  <c r="O239" i="23"/>
  <c r="N239" i="23"/>
  <c r="M239" i="23"/>
  <c r="L239" i="23"/>
  <c r="F239" i="23"/>
  <c r="E239" i="23"/>
  <c r="D239" i="23"/>
  <c r="C239" i="23"/>
  <c r="O238" i="23"/>
  <c r="N238" i="23"/>
  <c r="M238" i="23"/>
  <c r="L238" i="23"/>
  <c r="F238" i="23"/>
  <c r="E238" i="23"/>
  <c r="D238" i="23"/>
  <c r="C238" i="23"/>
  <c r="Q236" i="23"/>
  <c r="O236" i="23"/>
  <c r="N236" i="23"/>
  <c r="M236" i="23"/>
  <c r="L236" i="23"/>
  <c r="H236" i="23"/>
  <c r="F236" i="23"/>
  <c r="E236" i="23"/>
  <c r="D236" i="23"/>
  <c r="C236" i="23"/>
  <c r="Q235" i="23"/>
  <c r="O235" i="23"/>
  <c r="N235" i="23"/>
  <c r="M235" i="23"/>
  <c r="L235" i="23"/>
  <c r="H235" i="23"/>
  <c r="F235" i="23"/>
  <c r="E235" i="23"/>
  <c r="D235" i="23"/>
  <c r="C235" i="23"/>
  <c r="Q234" i="23"/>
  <c r="O234" i="23"/>
  <c r="N234" i="23"/>
  <c r="M234" i="23"/>
  <c r="L234" i="23"/>
  <c r="H234" i="23"/>
  <c r="F234" i="23"/>
  <c r="E234" i="23"/>
  <c r="D234" i="23"/>
  <c r="C234" i="23"/>
  <c r="O233" i="23"/>
  <c r="N233" i="23"/>
  <c r="M233" i="23"/>
  <c r="L233" i="23"/>
  <c r="F233" i="23"/>
  <c r="E233" i="23"/>
  <c r="D233" i="23"/>
  <c r="C233" i="23"/>
  <c r="O232" i="23"/>
  <c r="N232" i="23"/>
  <c r="M232" i="23"/>
  <c r="L232" i="23"/>
  <c r="F232" i="23"/>
  <c r="E232" i="23"/>
  <c r="D232" i="23"/>
  <c r="C232" i="23"/>
  <c r="O231" i="23"/>
  <c r="N231" i="23"/>
  <c r="M231" i="23"/>
  <c r="L231" i="23"/>
  <c r="F231" i="23"/>
  <c r="E231" i="23"/>
  <c r="D231" i="23"/>
  <c r="C231" i="23"/>
  <c r="O230" i="23"/>
  <c r="N230" i="23"/>
  <c r="M230" i="23"/>
  <c r="L230" i="23"/>
  <c r="F230" i="23"/>
  <c r="E230" i="23"/>
  <c r="D230" i="23"/>
  <c r="C230" i="23"/>
  <c r="O229" i="23"/>
  <c r="N229" i="23"/>
  <c r="M229" i="23"/>
  <c r="L229" i="23"/>
  <c r="F229" i="23"/>
  <c r="E229" i="23"/>
  <c r="D229" i="23"/>
  <c r="C229" i="23"/>
  <c r="O228" i="23"/>
  <c r="N228" i="23"/>
  <c r="M228" i="23"/>
  <c r="L228" i="23"/>
  <c r="F228" i="23"/>
  <c r="E228" i="23"/>
  <c r="D228" i="23"/>
  <c r="C228" i="23"/>
  <c r="O227" i="23"/>
  <c r="N227" i="23"/>
  <c r="M227" i="23"/>
  <c r="L227" i="23"/>
  <c r="F227" i="23"/>
  <c r="E227" i="23"/>
  <c r="D227" i="23"/>
  <c r="C227" i="23"/>
  <c r="O226" i="23"/>
  <c r="N226" i="23"/>
  <c r="M226" i="23"/>
  <c r="L226" i="23"/>
  <c r="F226" i="23"/>
  <c r="E226" i="23"/>
  <c r="D226" i="23"/>
  <c r="C226" i="23"/>
  <c r="O225" i="23"/>
  <c r="N225" i="23"/>
  <c r="M225" i="23"/>
  <c r="L225" i="23"/>
  <c r="F225" i="23"/>
  <c r="E225" i="23"/>
  <c r="D225" i="23"/>
  <c r="C225" i="23"/>
  <c r="Q223" i="23"/>
  <c r="O223" i="23"/>
  <c r="N223" i="23"/>
  <c r="M223" i="23"/>
  <c r="L223" i="23"/>
  <c r="H223" i="23"/>
  <c r="F223" i="23"/>
  <c r="E223" i="23"/>
  <c r="D223" i="23"/>
  <c r="C223" i="23"/>
  <c r="Q222" i="23"/>
  <c r="O222" i="23"/>
  <c r="N222" i="23"/>
  <c r="M222" i="23"/>
  <c r="L222" i="23"/>
  <c r="H222" i="23"/>
  <c r="F222" i="23"/>
  <c r="E222" i="23"/>
  <c r="D222" i="23"/>
  <c r="C222" i="23"/>
  <c r="Q221" i="23"/>
  <c r="O221" i="23"/>
  <c r="N221" i="23"/>
  <c r="M221" i="23"/>
  <c r="L221" i="23"/>
  <c r="H221" i="23"/>
  <c r="F221" i="23"/>
  <c r="E221" i="23"/>
  <c r="D221" i="23"/>
  <c r="C221" i="23"/>
  <c r="O220" i="23"/>
  <c r="N220" i="23"/>
  <c r="M220" i="23"/>
  <c r="L220" i="23"/>
  <c r="F220" i="23"/>
  <c r="E220" i="23"/>
  <c r="D220" i="23"/>
  <c r="C220" i="23"/>
  <c r="O219" i="23"/>
  <c r="N219" i="23"/>
  <c r="M219" i="23"/>
  <c r="L219" i="23"/>
  <c r="F219" i="23"/>
  <c r="E219" i="23"/>
  <c r="D219" i="23"/>
  <c r="C219" i="23"/>
  <c r="O218" i="23"/>
  <c r="N218" i="23"/>
  <c r="M218" i="23"/>
  <c r="L218" i="23"/>
  <c r="F218" i="23"/>
  <c r="E218" i="23"/>
  <c r="D218" i="23"/>
  <c r="C218" i="23"/>
  <c r="O217" i="23"/>
  <c r="N217" i="23"/>
  <c r="M217" i="23"/>
  <c r="L217" i="23"/>
  <c r="F217" i="23"/>
  <c r="E217" i="23"/>
  <c r="D217" i="23"/>
  <c r="C217" i="23"/>
  <c r="O216" i="23"/>
  <c r="N216" i="23"/>
  <c r="M216" i="23"/>
  <c r="L216" i="23"/>
  <c r="G216" i="23"/>
  <c r="F216" i="23"/>
  <c r="E216" i="23"/>
  <c r="D216" i="23"/>
  <c r="C216" i="23"/>
  <c r="O215" i="23"/>
  <c r="N215" i="23"/>
  <c r="M215" i="23"/>
  <c r="L215" i="23"/>
  <c r="F215" i="23"/>
  <c r="E215" i="23"/>
  <c r="D215" i="23"/>
  <c r="C215" i="23"/>
  <c r="O214" i="23"/>
  <c r="N214" i="23"/>
  <c r="M214" i="23"/>
  <c r="L214" i="23"/>
  <c r="F214" i="23"/>
  <c r="E214" i="23"/>
  <c r="D214" i="23"/>
  <c r="C214" i="23"/>
  <c r="O213" i="23"/>
  <c r="N213" i="23"/>
  <c r="M213" i="23"/>
  <c r="L213" i="23"/>
  <c r="F213" i="23"/>
  <c r="E213" i="23"/>
  <c r="D213" i="23"/>
  <c r="C213" i="23"/>
  <c r="O212" i="23"/>
  <c r="N212" i="23"/>
  <c r="M212" i="23"/>
  <c r="L212" i="23"/>
  <c r="F212" i="23"/>
  <c r="E212" i="23"/>
  <c r="D212" i="23"/>
  <c r="C212" i="23"/>
  <c r="L210" i="23"/>
  <c r="C210" i="23"/>
  <c r="Q207" i="23"/>
  <c r="O207" i="23"/>
  <c r="N207" i="23"/>
  <c r="M207" i="23"/>
  <c r="L207" i="23"/>
  <c r="H207" i="23"/>
  <c r="F207" i="23"/>
  <c r="E207" i="23"/>
  <c r="D207" i="23"/>
  <c r="C207" i="23"/>
  <c r="Q206" i="23"/>
  <c r="O206" i="23"/>
  <c r="N206" i="23"/>
  <c r="M206" i="23"/>
  <c r="L206" i="23"/>
  <c r="H206" i="23"/>
  <c r="F206" i="23"/>
  <c r="E206" i="23"/>
  <c r="D206" i="23"/>
  <c r="C206" i="23"/>
  <c r="Q205" i="23"/>
  <c r="O205" i="23"/>
  <c r="N205" i="23"/>
  <c r="M205" i="23"/>
  <c r="L205" i="23"/>
  <c r="H205" i="23"/>
  <c r="F205" i="23"/>
  <c r="E205" i="23"/>
  <c r="D205" i="23"/>
  <c r="C205" i="23"/>
  <c r="O204" i="23"/>
  <c r="N204" i="23"/>
  <c r="M204" i="23"/>
  <c r="L204" i="23"/>
  <c r="F204" i="23"/>
  <c r="E204" i="23"/>
  <c r="D204" i="23"/>
  <c r="C204" i="23"/>
  <c r="O203" i="23"/>
  <c r="N203" i="23"/>
  <c r="M203" i="23"/>
  <c r="L203" i="23"/>
  <c r="F203" i="23"/>
  <c r="E203" i="23"/>
  <c r="D203" i="23"/>
  <c r="C203" i="23"/>
  <c r="O202" i="23"/>
  <c r="N202" i="23"/>
  <c r="M202" i="23"/>
  <c r="L202" i="23"/>
  <c r="F202" i="23"/>
  <c r="E202" i="23"/>
  <c r="D202" i="23"/>
  <c r="C202" i="23"/>
  <c r="O201" i="23"/>
  <c r="N201" i="23"/>
  <c r="M201" i="23"/>
  <c r="L201" i="23"/>
  <c r="F201" i="23"/>
  <c r="E201" i="23"/>
  <c r="D201" i="23"/>
  <c r="C201" i="23"/>
  <c r="O200" i="23"/>
  <c r="N200" i="23"/>
  <c r="M200" i="23"/>
  <c r="L200" i="23"/>
  <c r="F200" i="23"/>
  <c r="E200" i="23"/>
  <c r="D200" i="23"/>
  <c r="C200" i="23"/>
  <c r="O199" i="23"/>
  <c r="N199" i="23"/>
  <c r="M199" i="23"/>
  <c r="L199" i="23"/>
  <c r="F199" i="23"/>
  <c r="E199" i="23"/>
  <c r="D199" i="23"/>
  <c r="C199" i="23"/>
  <c r="O198" i="23"/>
  <c r="N198" i="23"/>
  <c r="M198" i="23"/>
  <c r="L198" i="23"/>
  <c r="F198" i="23"/>
  <c r="E198" i="23"/>
  <c r="D198" i="23"/>
  <c r="C198" i="23"/>
  <c r="O197" i="23"/>
  <c r="N197" i="23"/>
  <c r="M197" i="23"/>
  <c r="L197" i="23"/>
  <c r="F197" i="23"/>
  <c r="E197" i="23"/>
  <c r="D197" i="23"/>
  <c r="C197" i="23"/>
  <c r="O196" i="23"/>
  <c r="N196" i="23"/>
  <c r="M196" i="23"/>
  <c r="L196" i="23"/>
  <c r="F196" i="23"/>
  <c r="E196" i="23"/>
  <c r="D196" i="23"/>
  <c r="C196" i="23"/>
  <c r="Q194" i="23"/>
  <c r="O194" i="23"/>
  <c r="N194" i="23"/>
  <c r="M194" i="23"/>
  <c r="L194" i="23"/>
  <c r="H194" i="23"/>
  <c r="F194" i="23"/>
  <c r="E194" i="23"/>
  <c r="D194" i="23"/>
  <c r="C194" i="23"/>
  <c r="Q193" i="23"/>
  <c r="O193" i="23"/>
  <c r="N193" i="23"/>
  <c r="M193" i="23"/>
  <c r="L193" i="23"/>
  <c r="H193" i="23"/>
  <c r="F193" i="23"/>
  <c r="E193" i="23"/>
  <c r="D193" i="23"/>
  <c r="C193" i="23"/>
  <c r="Q192" i="23"/>
  <c r="O192" i="23"/>
  <c r="N192" i="23"/>
  <c r="M192" i="23"/>
  <c r="L192" i="23"/>
  <c r="H192" i="23"/>
  <c r="F192" i="23"/>
  <c r="E192" i="23"/>
  <c r="D192" i="23"/>
  <c r="C192" i="23"/>
  <c r="O191" i="23"/>
  <c r="N191" i="23"/>
  <c r="M191" i="23"/>
  <c r="L191" i="23"/>
  <c r="F191" i="23"/>
  <c r="E191" i="23"/>
  <c r="D191" i="23"/>
  <c r="C191" i="23"/>
  <c r="O190" i="23"/>
  <c r="N190" i="23"/>
  <c r="M190" i="23"/>
  <c r="L190" i="23"/>
  <c r="F190" i="23"/>
  <c r="E190" i="23"/>
  <c r="D190" i="23"/>
  <c r="C190" i="23"/>
  <c r="O189" i="23"/>
  <c r="N189" i="23"/>
  <c r="M189" i="23"/>
  <c r="L189" i="23"/>
  <c r="F189" i="23"/>
  <c r="E189" i="23"/>
  <c r="D189" i="23"/>
  <c r="C189" i="23"/>
  <c r="O188" i="23"/>
  <c r="N188" i="23"/>
  <c r="M188" i="23"/>
  <c r="L188" i="23"/>
  <c r="F188" i="23"/>
  <c r="E188" i="23"/>
  <c r="D188" i="23"/>
  <c r="C188" i="23"/>
  <c r="O187" i="23"/>
  <c r="N187" i="23"/>
  <c r="M187" i="23"/>
  <c r="L187" i="23"/>
  <c r="F187" i="23"/>
  <c r="E187" i="23"/>
  <c r="D187" i="23"/>
  <c r="C187" i="23"/>
  <c r="O186" i="23"/>
  <c r="N186" i="23"/>
  <c r="M186" i="23"/>
  <c r="L186" i="23"/>
  <c r="F186" i="23"/>
  <c r="E186" i="23"/>
  <c r="D186" i="23"/>
  <c r="C186" i="23"/>
  <c r="O185" i="23"/>
  <c r="N185" i="23"/>
  <c r="M185" i="23"/>
  <c r="L185" i="23"/>
  <c r="F185" i="23"/>
  <c r="E185" i="23"/>
  <c r="D185" i="23"/>
  <c r="C185" i="23"/>
  <c r="O184" i="23"/>
  <c r="N184" i="23"/>
  <c r="M184" i="23"/>
  <c r="L184" i="23"/>
  <c r="F184" i="23"/>
  <c r="E184" i="23"/>
  <c r="D184" i="23"/>
  <c r="C184" i="23"/>
  <c r="O183" i="23"/>
  <c r="N183" i="23"/>
  <c r="M183" i="23"/>
  <c r="L183" i="23"/>
  <c r="F183" i="23"/>
  <c r="E183" i="23"/>
  <c r="D183" i="23"/>
  <c r="C183" i="23"/>
  <c r="Q181" i="23"/>
  <c r="O181" i="23"/>
  <c r="N181" i="23"/>
  <c r="M181" i="23"/>
  <c r="L181" i="23"/>
  <c r="H181" i="23"/>
  <c r="F181" i="23"/>
  <c r="E181" i="23"/>
  <c r="D181" i="23"/>
  <c r="C181" i="23"/>
  <c r="Q180" i="23"/>
  <c r="O180" i="23"/>
  <c r="N180" i="23"/>
  <c r="M180" i="23"/>
  <c r="L180" i="23"/>
  <c r="H180" i="23"/>
  <c r="F180" i="23"/>
  <c r="E180" i="23"/>
  <c r="D180" i="23"/>
  <c r="C180" i="23"/>
  <c r="Q179" i="23"/>
  <c r="O179" i="23"/>
  <c r="N179" i="23"/>
  <c r="M179" i="23"/>
  <c r="L179" i="23"/>
  <c r="H179" i="23"/>
  <c r="F179" i="23"/>
  <c r="E179" i="23"/>
  <c r="D179" i="23"/>
  <c r="C179" i="23"/>
  <c r="O178" i="23"/>
  <c r="N178" i="23"/>
  <c r="M178" i="23"/>
  <c r="L178" i="23"/>
  <c r="F178" i="23"/>
  <c r="E178" i="23"/>
  <c r="D178" i="23"/>
  <c r="C178" i="23"/>
  <c r="P177" i="23"/>
  <c r="O177" i="23"/>
  <c r="N177" i="23"/>
  <c r="M177" i="23"/>
  <c r="L177" i="23"/>
  <c r="F177" i="23"/>
  <c r="E177" i="23"/>
  <c r="D177" i="23"/>
  <c r="C177" i="23"/>
  <c r="O176" i="23"/>
  <c r="N176" i="23"/>
  <c r="M176" i="23"/>
  <c r="L176" i="23"/>
  <c r="F176" i="23"/>
  <c r="E176" i="23"/>
  <c r="D176" i="23"/>
  <c r="C176" i="23"/>
  <c r="O175" i="23"/>
  <c r="N175" i="23"/>
  <c r="M175" i="23"/>
  <c r="L175" i="23"/>
  <c r="F175" i="23"/>
  <c r="E175" i="23"/>
  <c r="D175" i="23"/>
  <c r="C175" i="23"/>
  <c r="O174" i="23"/>
  <c r="N174" i="23"/>
  <c r="M174" i="23"/>
  <c r="L174" i="23"/>
  <c r="F174" i="23"/>
  <c r="E174" i="23"/>
  <c r="D174" i="23"/>
  <c r="C174" i="23"/>
  <c r="O173" i="23"/>
  <c r="N173" i="23"/>
  <c r="M173" i="23"/>
  <c r="L173" i="23"/>
  <c r="F173" i="23"/>
  <c r="E173" i="23"/>
  <c r="D173" i="23"/>
  <c r="C173" i="23"/>
  <c r="O172" i="23"/>
  <c r="N172" i="23"/>
  <c r="M172" i="23"/>
  <c r="L172" i="23"/>
  <c r="F172" i="23"/>
  <c r="E172" i="23"/>
  <c r="D172" i="23"/>
  <c r="C172" i="23"/>
  <c r="O171" i="23"/>
  <c r="N171" i="23"/>
  <c r="M171" i="23"/>
  <c r="L171" i="23"/>
  <c r="F171" i="23"/>
  <c r="E171" i="23"/>
  <c r="D171" i="23"/>
  <c r="C171" i="23"/>
  <c r="O170" i="23"/>
  <c r="N170" i="23"/>
  <c r="M170" i="23"/>
  <c r="L170" i="23"/>
  <c r="F170" i="23"/>
  <c r="E170" i="23"/>
  <c r="D170" i="23"/>
  <c r="C170" i="23"/>
  <c r="Q168" i="23"/>
  <c r="O168" i="23"/>
  <c r="N168" i="23"/>
  <c r="M168" i="23"/>
  <c r="L168" i="23"/>
  <c r="H168" i="23"/>
  <c r="F168" i="23"/>
  <c r="E168" i="23"/>
  <c r="D168" i="23"/>
  <c r="C168" i="23"/>
  <c r="Q167" i="23"/>
  <c r="O167" i="23"/>
  <c r="N167" i="23"/>
  <c r="M167" i="23"/>
  <c r="L167" i="23"/>
  <c r="H167" i="23"/>
  <c r="F167" i="23"/>
  <c r="E167" i="23"/>
  <c r="D167" i="23"/>
  <c r="C167" i="23"/>
  <c r="Q166" i="23"/>
  <c r="O166" i="23"/>
  <c r="N166" i="23"/>
  <c r="M166" i="23"/>
  <c r="L166" i="23"/>
  <c r="H166" i="23"/>
  <c r="F166" i="23"/>
  <c r="E166" i="23"/>
  <c r="D166" i="23"/>
  <c r="C166" i="23"/>
  <c r="O165" i="23"/>
  <c r="N165" i="23"/>
  <c r="M165" i="23"/>
  <c r="L165" i="23"/>
  <c r="F165" i="23"/>
  <c r="E165" i="23"/>
  <c r="D165" i="23"/>
  <c r="C165" i="23"/>
  <c r="O164" i="23"/>
  <c r="N164" i="23"/>
  <c r="M164" i="23"/>
  <c r="L164" i="23"/>
  <c r="F164" i="23"/>
  <c r="E164" i="23"/>
  <c r="D164" i="23"/>
  <c r="C164" i="23"/>
  <c r="O163" i="23"/>
  <c r="N163" i="23"/>
  <c r="M163" i="23"/>
  <c r="L163" i="23"/>
  <c r="F163" i="23"/>
  <c r="E163" i="23"/>
  <c r="D163" i="23"/>
  <c r="C163" i="23"/>
  <c r="O162" i="23"/>
  <c r="N162" i="23"/>
  <c r="M162" i="23"/>
  <c r="L162" i="23"/>
  <c r="F162" i="23"/>
  <c r="E162" i="23"/>
  <c r="D162" i="23"/>
  <c r="C162" i="23"/>
  <c r="O161" i="23"/>
  <c r="N161" i="23"/>
  <c r="M161" i="23"/>
  <c r="L161" i="23"/>
  <c r="F161" i="23"/>
  <c r="E161" i="23"/>
  <c r="D161" i="23"/>
  <c r="C161" i="23"/>
  <c r="O160" i="23"/>
  <c r="N160" i="23"/>
  <c r="M160" i="23"/>
  <c r="L160" i="23"/>
  <c r="F160" i="23"/>
  <c r="E160" i="23"/>
  <c r="D160" i="23"/>
  <c r="C160" i="23"/>
  <c r="O159" i="23"/>
  <c r="N159" i="23"/>
  <c r="M159" i="23"/>
  <c r="L159" i="23"/>
  <c r="F159" i="23"/>
  <c r="E159" i="23"/>
  <c r="D159" i="23"/>
  <c r="C159" i="23"/>
  <c r="O158" i="23"/>
  <c r="N158" i="23"/>
  <c r="M158" i="23"/>
  <c r="L158" i="23"/>
  <c r="F158" i="23"/>
  <c r="E158" i="23"/>
  <c r="D158" i="23"/>
  <c r="C158" i="23"/>
  <c r="O157" i="23"/>
  <c r="N157" i="23"/>
  <c r="M157" i="23"/>
  <c r="L157" i="23"/>
  <c r="F157" i="23"/>
  <c r="E157" i="23"/>
  <c r="D157" i="23"/>
  <c r="C157" i="23"/>
  <c r="Q155" i="23"/>
  <c r="P155" i="23"/>
  <c r="O155" i="23"/>
  <c r="N155" i="23"/>
  <c r="M155" i="23"/>
  <c r="L155" i="23"/>
  <c r="H155" i="23"/>
  <c r="F155" i="23"/>
  <c r="E155" i="23"/>
  <c r="D155" i="23"/>
  <c r="C155" i="23"/>
  <c r="Q154" i="23"/>
  <c r="O154" i="23"/>
  <c r="N154" i="23"/>
  <c r="M154" i="23"/>
  <c r="L154" i="23"/>
  <c r="H154" i="23"/>
  <c r="F154" i="23"/>
  <c r="E154" i="23"/>
  <c r="D154" i="23"/>
  <c r="C154" i="23"/>
  <c r="Q153" i="23"/>
  <c r="O153" i="23"/>
  <c r="N153" i="23"/>
  <c r="M153" i="23"/>
  <c r="L153" i="23"/>
  <c r="H153" i="23"/>
  <c r="F153" i="23"/>
  <c r="E153" i="23"/>
  <c r="D153" i="23"/>
  <c r="C153" i="23"/>
  <c r="O152" i="23"/>
  <c r="N152" i="23"/>
  <c r="M152" i="23"/>
  <c r="L152" i="23"/>
  <c r="F152" i="23"/>
  <c r="E152" i="23"/>
  <c r="D152" i="23"/>
  <c r="C152" i="23"/>
  <c r="O151" i="23"/>
  <c r="N151" i="23"/>
  <c r="M151" i="23"/>
  <c r="L151" i="23"/>
  <c r="F151" i="23"/>
  <c r="E151" i="23"/>
  <c r="D151" i="23"/>
  <c r="C151" i="23"/>
  <c r="O150" i="23"/>
  <c r="N150" i="23"/>
  <c r="M150" i="23"/>
  <c r="L150" i="23"/>
  <c r="F150" i="23"/>
  <c r="E150" i="23"/>
  <c r="D150" i="23"/>
  <c r="C150" i="23"/>
  <c r="P149" i="23"/>
  <c r="O149" i="23"/>
  <c r="N149" i="23"/>
  <c r="M149" i="23"/>
  <c r="L149" i="23"/>
  <c r="F149" i="23"/>
  <c r="E149" i="23"/>
  <c r="D149" i="23"/>
  <c r="C149" i="23"/>
  <c r="O148" i="23"/>
  <c r="N148" i="23"/>
  <c r="M148" i="23"/>
  <c r="L148" i="23"/>
  <c r="F148" i="23"/>
  <c r="E148" i="23"/>
  <c r="D148" i="23"/>
  <c r="C148" i="23"/>
  <c r="O147" i="23"/>
  <c r="N147" i="23"/>
  <c r="M147" i="23"/>
  <c r="L147" i="23"/>
  <c r="F147" i="23"/>
  <c r="E147" i="23"/>
  <c r="D147" i="23"/>
  <c r="C147" i="23"/>
  <c r="O146" i="23"/>
  <c r="N146" i="23"/>
  <c r="M146" i="23"/>
  <c r="L146" i="23"/>
  <c r="F146" i="23"/>
  <c r="E146" i="23"/>
  <c r="D146" i="23"/>
  <c r="C146" i="23"/>
  <c r="O145" i="23"/>
  <c r="N145" i="23"/>
  <c r="M145" i="23"/>
  <c r="L145" i="23"/>
  <c r="F145" i="23"/>
  <c r="E145" i="23"/>
  <c r="D145" i="23"/>
  <c r="C145" i="23"/>
  <c r="O144" i="23"/>
  <c r="N144" i="23"/>
  <c r="M144" i="23"/>
  <c r="L144" i="23"/>
  <c r="F144" i="23"/>
  <c r="E144" i="23"/>
  <c r="D144" i="23"/>
  <c r="C144" i="23"/>
  <c r="Q142" i="23"/>
  <c r="O142" i="23"/>
  <c r="N142" i="23"/>
  <c r="M142" i="23"/>
  <c r="L142" i="23"/>
  <c r="H142" i="23"/>
  <c r="F142" i="23"/>
  <c r="E142" i="23"/>
  <c r="D142" i="23"/>
  <c r="C142" i="23"/>
  <c r="Q141" i="23"/>
  <c r="O141" i="23"/>
  <c r="N141" i="23"/>
  <c r="M141" i="23"/>
  <c r="L141" i="23"/>
  <c r="H141" i="23"/>
  <c r="F141" i="23"/>
  <c r="E141" i="23"/>
  <c r="D141" i="23"/>
  <c r="C141" i="23"/>
  <c r="Q140" i="23"/>
  <c r="P140" i="23"/>
  <c r="O140" i="23"/>
  <c r="N140" i="23"/>
  <c r="M140" i="23"/>
  <c r="L140" i="23"/>
  <c r="H140" i="23"/>
  <c r="F140" i="23"/>
  <c r="E140" i="23"/>
  <c r="D140" i="23"/>
  <c r="C140" i="23"/>
  <c r="O139" i="23"/>
  <c r="N139" i="23"/>
  <c r="M139" i="23"/>
  <c r="L139" i="23"/>
  <c r="F139" i="23"/>
  <c r="E139" i="23"/>
  <c r="D139" i="23"/>
  <c r="C139" i="23"/>
  <c r="O138" i="23"/>
  <c r="N138" i="23"/>
  <c r="M138" i="23"/>
  <c r="L138" i="23"/>
  <c r="F138" i="23"/>
  <c r="E138" i="23"/>
  <c r="D138" i="23"/>
  <c r="C138" i="23"/>
  <c r="O137" i="23"/>
  <c r="N137" i="23"/>
  <c r="M137" i="23"/>
  <c r="L137" i="23"/>
  <c r="F137" i="23"/>
  <c r="E137" i="23"/>
  <c r="D137" i="23"/>
  <c r="C137" i="23"/>
  <c r="O136" i="23"/>
  <c r="N136" i="23"/>
  <c r="M136" i="23"/>
  <c r="L136" i="23"/>
  <c r="F136" i="23"/>
  <c r="E136" i="23"/>
  <c r="D136" i="23"/>
  <c r="C136" i="23"/>
  <c r="O135" i="23"/>
  <c r="N135" i="23"/>
  <c r="M135" i="23"/>
  <c r="L135" i="23"/>
  <c r="F135" i="23"/>
  <c r="E135" i="23"/>
  <c r="D135" i="23"/>
  <c r="C135" i="23"/>
  <c r="O134" i="23"/>
  <c r="N134" i="23"/>
  <c r="M134" i="23"/>
  <c r="L134" i="23"/>
  <c r="F134" i="23"/>
  <c r="E134" i="23"/>
  <c r="D134" i="23"/>
  <c r="C134" i="23"/>
  <c r="O133" i="23"/>
  <c r="N133" i="23"/>
  <c r="M133" i="23"/>
  <c r="L133" i="23"/>
  <c r="F133" i="23"/>
  <c r="E133" i="23"/>
  <c r="D133" i="23"/>
  <c r="C133" i="23"/>
  <c r="O132" i="23"/>
  <c r="N132" i="23"/>
  <c r="M132" i="23"/>
  <c r="L132" i="23"/>
  <c r="F132" i="23"/>
  <c r="E132" i="23"/>
  <c r="D132" i="23"/>
  <c r="C132" i="23"/>
  <c r="O131" i="23"/>
  <c r="N131" i="23"/>
  <c r="M131" i="23"/>
  <c r="L131" i="23"/>
  <c r="F131" i="23"/>
  <c r="E131" i="23"/>
  <c r="D131" i="23"/>
  <c r="C131" i="23"/>
  <c r="L129" i="23"/>
  <c r="C129" i="23"/>
  <c r="J128" i="23"/>
  <c r="T124" i="23"/>
  <c r="P262" i="23" s="1"/>
  <c r="M124" i="23"/>
  <c r="P261" i="23" s="1"/>
  <c r="F124" i="23"/>
  <c r="P260" i="23" s="1"/>
  <c r="T123" i="23"/>
  <c r="P249" i="23" s="1"/>
  <c r="M123" i="23"/>
  <c r="P248" i="23" s="1"/>
  <c r="F123" i="23"/>
  <c r="P247" i="23" s="1"/>
  <c r="T122" i="23"/>
  <c r="P236" i="23" s="1"/>
  <c r="M122" i="23"/>
  <c r="P235" i="23" s="1"/>
  <c r="F122" i="23"/>
  <c r="P234" i="23" s="1"/>
  <c r="T121" i="23"/>
  <c r="P223" i="23" s="1"/>
  <c r="M121" i="23"/>
  <c r="P222" i="23" s="1"/>
  <c r="F121" i="23"/>
  <c r="P221" i="23" s="1"/>
  <c r="S120" i="23"/>
  <c r="R120" i="23"/>
  <c r="Q120" i="23"/>
  <c r="L120" i="23"/>
  <c r="K120" i="23"/>
  <c r="J120" i="23"/>
  <c r="E120" i="23"/>
  <c r="D120" i="23"/>
  <c r="C120" i="23"/>
  <c r="P119" i="23"/>
  <c r="T118" i="23"/>
  <c r="G262" i="23" s="1"/>
  <c r="M118" i="23"/>
  <c r="G261" i="23" s="1"/>
  <c r="F118" i="23"/>
  <c r="G260" i="23" s="1"/>
  <c r="T117" i="23"/>
  <c r="G249" i="23" s="1"/>
  <c r="M117" i="23"/>
  <c r="G248" i="23" s="1"/>
  <c r="F117" i="23"/>
  <c r="G247" i="23" s="1"/>
  <c r="T116" i="23"/>
  <c r="G236" i="23" s="1"/>
  <c r="M116" i="23"/>
  <c r="G235" i="23" s="1"/>
  <c r="F116" i="23"/>
  <c r="G234" i="23" s="1"/>
  <c r="T115" i="23"/>
  <c r="G223" i="23" s="1"/>
  <c r="M115" i="23"/>
  <c r="G222" i="23" s="1"/>
  <c r="F115" i="23"/>
  <c r="G221" i="23" s="1"/>
  <c r="S114" i="23"/>
  <c r="R114" i="23"/>
  <c r="Q114" i="23"/>
  <c r="L114" i="23"/>
  <c r="K114" i="23"/>
  <c r="J114" i="23"/>
  <c r="E114" i="23"/>
  <c r="D114" i="23"/>
  <c r="C114" i="23"/>
  <c r="P113" i="23"/>
  <c r="T112" i="23"/>
  <c r="P207" i="23" s="1"/>
  <c r="M112" i="23"/>
  <c r="P206" i="23" s="1"/>
  <c r="F112" i="23"/>
  <c r="P205" i="23" s="1"/>
  <c r="T111" i="23"/>
  <c r="P194" i="23" s="1"/>
  <c r="M111" i="23"/>
  <c r="P193" i="23" s="1"/>
  <c r="F111" i="23"/>
  <c r="P192" i="23" s="1"/>
  <c r="T110" i="23"/>
  <c r="P181" i="23" s="1"/>
  <c r="M110" i="23"/>
  <c r="P180" i="23" s="1"/>
  <c r="F110" i="23"/>
  <c r="P179" i="23" s="1"/>
  <c r="T109" i="23"/>
  <c r="P168" i="23" s="1"/>
  <c r="M109" i="23"/>
  <c r="P167" i="23" s="1"/>
  <c r="F109" i="23"/>
  <c r="P166" i="23" s="1"/>
  <c r="T108" i="23"/>
  <c r="M108" i="23"/>
  <c r="P154" i="23" s="1"/>
  <c r="F108" i="23"/>
  <c r="P153" i="23" s="1"/>
  <c r="T107" i="23"/>
  <c r="P142" i="23" s="1"/>
  <c r="M107" i="23"/>
  <c r="P141" i="23" s="1"/>
  <c r="F107" i="23"/>
  <c r="S106" i="23"/>
  <c r="R106" i="23"/>
  <c r="Q106" i="23"/>
  <c r="L106" i="23"/>
  <c r="K106" i="23"/>
  <c r="J106" i="23"/>
  <c r="E106" i="23"/>
  <c r="D106" i="23"/>
  <c r="C106" i="23"/>
  <c r="P105" i="23"/>
  <c r="I105" i="23"/>
  <c r="T104" i="23"/>
  <c r="G207" i="23" s="1"/>
  <c r="M104" i="23"/>
  <c r="G206" i="23" s="1"/>
  <c r="F104" i="23"/>
  <c r="G205" i="23" s="1"/>
  <c r="T103" i="23"/>
  <c r="G194" i="23" s="1"/>
  <c r="M103" i="23"/>
  <c r="G193" i="23" s="1"/>
  <c r="F103" i="23"/>
  <c r="G192" i="23" s="1"/>
  <c r="T102" i="23"/>
  <c r="G181" i="23" s="1"/>
  <c r="M102" i="23"/>
  <c r="G180" i="23" s="1"/>
  <c r="F102" i="23"/>
  <c r="G179" i="23" s="1"/>
  <c r="T101" i="23"/>
  <c r="G168" i="23" s="1"/>
  <c r="M101" i="23"/>
  <c r="G167" i="23" s="1"/>
  <c r="F101" i="23"/>
  <c r="G166" i="23" s="1"/>
  <c r="T100" i="23"/>
  <c r="G155" i="23" s="1"/>
  <c r="M100" i="23"/>
  <c r="G154" i="23" s="1"/>
  <c r="F100" i="23"/>
  <c r="G153" i="23" s="1"/>
  <c r="T99" i="23"/>
  <c r="G142" i="23" s="1"/>
  <c r="M99" i="23"/>
  <c r="G141" i="23" s="1"/>
  <c r="F99" i="23"/>
  <c r="G140" i="23" s="1"/>
  <c r="P97" i="23"/>
  <c r="I97" i="23"/>
  <c r="U93" i="23"/>
  <c r="Q259" i="23" s="1"/>
  <c r="T93" i="23"/>
  <c r="P259" i="23" s="1"/>
  <c r="N93" i="23"/>
  <c r="Q258" i="23" s="1"/>
  <c r="P258" i="23"/>
  <c r="G93" i="23"/>
  <c r="Q257" i="23" s="1"/>
  <c r="F93" i="23"/>
  <c r="P257" i="23" s="1"/>
  <c r="U92" i="23"/>
  <c r="Q246" i="23" s="1"/>
  <c r="T92" i="23"/>
  <c r="P246" i="23" s="1"/>
  <c r="N92" i="23"/>
  <c r="Q245" i="23" s="1"/>
  <c r="M92" i="23"/>
  <c r="P245" i="23" s="1"/>
  <c r="G92" i="23"/>
  <c r="Q244" i="23" s="1"/>
  <c r="F92" i="23"/>
  <c r="P244" i="23" s="1"/>
  <c r="U91" i="23"/>
  <c r="Q233" i="23" s="1"/>
  <c r="T91" i="23"/>
  <c r="P233" i="23" s="1"/>
  <c r="N91" i="23"/>
  <c r="Q232" i="23" s="1"/>
  <c r="M91" i="23"/>
  <c r="P232" i="23" s="1"/>
  <c r="G91" i="23"/>
  <c r="Q231" i="23" s="1"/>
  <c r="F91" i="23"/>
  <c r="P231" i="23" s="1"/>
  <c r="U90" i="23"/>
  <c r="Q220" i="23" s="1"/>
  <c r="T90" i="23"/>
  <c r="P220" i="23" s="1"/>
  <c r="N90" i="23"/>
  <c r="Q219" i="23" s="1"/>
  <c r="P219" i="23"/>
  <c r="G90" i="23"/>
  <c r="Q218" i="23" s="1"/>
  <c r="P218" i="23"/>
  <c r="S89" i="23"/>
  <c r="R89" i="23"/>
  <c r="Q89" i="23"/>
  <c r="L89" i="23"/>
  <c r="K89" i="23"/>
  <c r="J89" i="23"/>
  <c r="E89" i="23"/>
  <c r="D89" i="23"/>
  <c r="C89" i="23"/>
  <c r="P88" i="23"/>
  <c r="U87" i="23"/>
  <c r="H259" i="23" s="1"/>
  <c r="T87" i="23"/>
  <c r="G259" i="23" s="1"/>
  <c r="N87" i="23"/>
  <c r="H258" i="23" s="1"/>
  <c r="M87" i="23"/>
  <c r="G258" i="23" s="1"/>
  <c r="G87" i="23"/>
  <c r="H257" i="23" s="1"/>
  <c r="F87" i="23"/>
  <c r="G257" i="23" s="1"/>
  <c r="U86" i="23"/>
  <c r="H246" i="23" s="1"/>
  <c r="T86" i="23"/>
  <c r="G246" i="23" s="1"/>
  <c r="N86" i="23"/>
  <c r="H245" i="23" s="1"/>
  <c r="M86" i="23"/>
  <c r="G245" i="23" s="1"/>
  <c r="G86" i="23"/>
  <c r="H244" i="23" s="1"/>
  <c r="F86" i="23"/>
  <c r="G244" i="23" s="1"/>
  <c r="U85" i="23"/>
  <c r="H233" i="23" s="1"/>
  <c r="G233" i="23"/>
  <c r="N85" i="23"/>
  <c r="H232" i="23" s="1"/>
  <c r="G232" i="23"/>
  <c r="G85" i="23"/>
  <c r="H231" i="23" s="1"/>
  <c r="F85" i="23"/>
  <c r="G231" i="23" s="1"/>
  <c r="U84" i="23"/>
  <c r="H220" i="23" s="1"/>
  <c r="G220" i="23"/>
  <c r="N84" i="23"/>
  <c r="H219" i="23" s="1"/>
  <c r="G219" i="23"/>
  <c r="G84" i="23"/>
  <c r="H218" i="23" s="1"/>
  <c r="G218" i="23"/>
  <c r="S83" i="23"/>
  <c r="R83" i="23"/>
  <c r="Q83" i="23"/>
  <c r="L83" i="23"/>
  <c r="K83" i="23"/>
  <c r="J83" i="23"/>
  <c r="E83" i="23"/>
  <c r="D83" i="23"/>
  <c r="C83" i="23"/>
  <c r="P82" i="23"/>
  <c r="U81" i="23"/>
  <c r="Q204" i="23" s="1"/>
  <c r="T81" i="23"/>
  <c r="P204" i="23" s="1"/>
  <c r="N81" i="23"/>
  <c r="Q203" i="23" s="1"/>
  <c r="M81" i="23"/>
  <c r="P203" i="23" s="1"/>
  <c r="G81" i="23"/>
  <c r="Q202" i="23" s="1"/>
  <c r="F81" i="23"/>
  <c r="P202" i="23" s="1"/>
  <c r="U80" i="23"/>
  <c r="Q191" i="23" s="1"/>
  <c r="T80" i="23"/>
  <c r="P191" i="23" s="1"/>
  <c r="N80" i="23"/>
  <c r="Q190" i="23" s="1"/>
  <c r="M80" i="23"/>
  <c r="P190" i="23" s="1"/>
  <c r="G80" i="23"/>
  <c r="Q189" i="23" s="1"/>
  <c r="F80" i="23"/>
  <c r="P189" i="23" s="1"/>
  <c r="U79" i="23"/>
  <c r="Q178" i="23" s="1"/>
  <c r="T79" i="23"/>
  <c r="P178" i="23" s="1"/>
  <c r="N79" i="23"/>
  <c r="Q177" i="23" s="1"/>
  <c r="M79" i="23"/>
  <c r="G79" i="23"/>
  <c r="Q176" i="23" s="1"/>
  <c r="F79" i="23"/>
  <c r="P176" i="23" s="1"/>
  <c r="U78" i="23"/>
  <c r="Q165" i="23" s="1"/>
  <c r="T78" i="23"/>
  <c r="P165" i="23" s="1"/>
  <c r="N78" i="23"/>
  <c r="Q164" i="23" s="1"/>
  <c r="M78" i="23"/>
  <c r="P164" i="23" s="1"/>
  <c r="G78" i="23"/>
  <c r="Q163" i="23" s="1"/>
  <c r="F78" i="23"/>
  <c r="P163" i="23" s="1"/>
  <c r="U77" i="23"/>
  <c r="Q152" i="23" s="1"/>
  <c r="T77" i="23"/>
  <c r="P152" i="23" s="1"/>
  <c r="N77" i="23"/>
  <c r="Q151" i="23" s="1"/>
  <c r="M77" i="23"/>
  <c r="P151" i="23" s="1"/>
  <c r="G77" i="23"/>
  <c r="Q150" i="23" s="1"/>
  <c r="F77" i="23"/>
  <c r="P150" i="23" s="1"/>
  <c r="U76" i="23"/>
  <c r="Q139" i="23" s="1"/>
  <c r="P139" i="23"/>
  <c r="N76" i="23"/>
  <c r="Q138" i="23" s="1"/>
  <c r="P138" i="23"/>
  <c r="G76" i="23"/>
  <c r="Q137" i="23" s="1"/>
  <c r="P137" i="23"/>
  <c r="S75" i="23"/>
  <c r="R75" i="23"/>
  <c r="Q75" i="23"/>
  <c r="L75" i="23"/>
  <c r="K75" i="23"/>
  <c r="J75" i="23"/>
  <c r="E75" i="23"/>
  <c r="D75" i="23"/>
  <c r="C75" i="23"/>
  <c r="P74" i="23"/>
  <c r="I74" i="23"/>
  <c r="U73" i="23"/>
  <c r="H204" i="23" s="1"/>
  <c r="T73" i="23"/>
  <c r="G204" i="23" s="1"/>
  <c r="N73" i="23"/>
  <c r="H203" i="23" s="1"/>
  <c r="M73" i="23"/>
  <c r="G203" i="23" s="1"/>
  <c r="G73" i="23"/>
  <c r="H202" i="23" s="1"/>
  <c r="F73" i="23"/>
  <c r="G202" i="23" s="1"/>
  <c r="U72" i="23"/>
  <c r="H191" i="23" s="1"/>
  <c r="T72" i="23"/>
  <c r="G191" i="23" s="1"/>
  <c r="N72" i="23"/>
  <c r="H190" i="23" s="1"/>
  <c r="M72" i="23"/>
  <c r="G190" i="23" s="1"/>
  <c r="G72" i="23"/>
  <c r="H189" i="23" s="1"/>
  <c r="F72" i="23"/>
  <c r="G189" i="23" s="1"/>
  <c r="U71" i="23"/>
  <c r="H178" i="23" s="1"/>
  <c r="T71" i="23"/>
  <c r="G178" i="23" s="1"/>
  <c r="N71" i="23"/>
  <c r="H177" i="23" s="1"/>
  <c r="M71" i="23"/>
  <c r="G177" i="23" s="1"/>
  <c r="G71" i="23"/>
  <c r="H176" i="23" s="1"/>
  <c r="F71" i="23"/>
  <c r="G176" i="23" s="1"/>
  <c r="U70" i="23"/>
  <c r="H165" i="23" s="1"/>
  <c r="T70" i="23"/>
  <c r="G165" i="23" s="1"/>
  <c r="N70" i="23"/>
  <c r="H164" i="23" s="1"/>
  <c r="M70" i="23"/>
  <c r="G164" i="23" s="1"/>
  <c r="G70" i="23"/>
  <c r="H163" i="23" s="1"/>
  <c r="F70" i="23"/>
  <c r="G163" i="23" s="1"/>
  <c r="U69" i="23"/>
  <c r="H152" i="23" s="1"/>
  <c r="T69" i="23"/>
  <c r="G152" i="23" s="1"/>
  <c r="N69" i="23"/>
  <c r="H151" i="23" s="1"/>
  <c r="M69" i="23"/>
  <c r="G151" i="23" s="1"/>
  <c r="G69" i="23"/>
  <c r="H150" i="23" s="1"/>
  <c r="F69" i="23"/>
  <c r="G150" i="23" s="1"/>
  <c r="U68" i="23"/>
  <c r="H139" i="23" s="1"/>
  <c r="T68" i="23"/>
  <c r="G139" i="23" s="1"/>
  <c r="N68" i="23"/>
  <c r="H138" i="23" s="1"/>
  <c r="M68" i="23"/>
  <c r="G138" i="23" s="1"/>
  <c r="G68" i="23"/>
  <c r="H137" i="23" s="1"/>
  <c r="F68" i="23"/>
  <c r="G137" i="23" s="1"/>
  <c r="P66" i="23"/>
  <c r="I66" i="23"/>
  <c r="U62" i="23"/>
  <c r="Q256" i="23" s="1"/>
  <c r="T62" i="23"/>
  <c r="P256" i="23" s="1"/>
  <c r="N62" i="23"/>
  <c r="Q255" i="23" s="1"/>
  <c r="M62" i="23"/>
  <c r="P255" i="23" s="1"/>
  <c r="G62" i="23"/>
  <c r="Q254" i="23" s="1"/>
  <c r="F62" i="23"/>
  <c r="P254" i="23" s="1"/>
  <c r="U61" i="23"/>
  <c r="Q243" i="23" s="1"/>
  <c r="T61" i="23"/>
  <c r="P243" i="23" s="1"/>
  <c r="N61" i="23"/>
  <c r="Q242" i="23" s="1"/>
  <c r="M61" i="23"/>
  <c r="P242" i="23" s="1"/>
  <c r="G61" i="23"/>
  <c r="Q241" i="23" s="1"/>
  <c r="F61" i="23"/>
  <c r="P241" i="23" s="1"/>
  <c r="U60" i="23"/>
  <c r="Q230" i="23" s="1"/>
  <c r="T60" i="23"/>
  <c r="P230" i="23" s="1"/>
  <c r="N60" i="23"/>
  <c r="Q229" i="23" s="1"/>
  <c r="M60" i="23"/>
  <c r="P229" i="23" s="1"/>
  <c r="G60" i="23"/>
  <c r="Q228" i="23" s="1"/>
  <c r="F60" i="23"/>
  <c r="P228" i="23" s="1"/>
  <c r="U59" i="23"/>
  <c r="Q217" i="23" s="1"/>
  <c r="P217" i="23"/>
  <c r="N59" i="23"/>
  <c r="Q216" i="23" s="1"/>
  <c r="P216" i="23"/>
  <c r="G59" i="23"/>
  <c r="Q215" i="23" s="1"/>
  <c r="P215" i="23"/>
  <c r="S58" i="23"/>
  <c r="R58" i="23"/>
  <c r="Q58" i="23"/>
  <c r="L58" i="23"/>
  <c r="K58" i="23"/>
  <c r="J58" i="23"/>
  <c r="E58" i="23"/>
  <c r="D58" i="23"/>
  <c r="C58" i="23"/>
  <c r="I57" i="23"/>
  <c r="P57" i="23" s="1"/>
  <c r="B57" i="23"/>
  <c r="U56" i="23"/>
  <c r="H256" i="23" s="1"/>
  <c r="T56" i="23"/>
  <c r="G256" i="23" s="1"/>
  <c r="N56" i="23"/>
  <c r="H255" i="23" s="1"/>
  <c r="M56" i="23"/>
  <c r="G255" i="23" s="1"/>
  <c r="G56" i="23"/>
  <c r="H254" i="23" s="1"/>
  <c r="F56" i="23"/>
  <c r="G254" i="23" s="1"/>
  <c r="U55" i="23"/>
  <c r="H243" i="23" s="1"/>
  <c r="T55" i="23"/>
  <c r="G243" i="23" s="1"/>
  <c r="N55" i="23"/>
  <c r="H242" i="23" s="1"/>
  <c r="M55" i="23"/>
  <c r="G55" i="23"/>
  <c r="H241" i="23" s="1"/>
  <c r="F55" i="23"/>
  <c r="G241" i="23" s="1"/>
  <c r="U54" i="23"/>
  <c r="H230" i="23" s="1"/>
  <c r="T54" i="23"/>
  <c r="G230" i="23" s="1"/>
  <c r="N54" i="23"/>
  <c r="H229" i="23" s="1"/>
  <c r="M54" i="23"/>
  <c r="G229" i="23" s="1"/>
  <c r="G54" i="23"/>
  <c r="H228" i="23" s="1"/>
  <c r="F54" i="23"/>
  <c r="G228" i="23" s="1"/>
  <c r="U53" i="23"/>
  <c r="H217" i="23" s="1"/>
  <c r="T53" i="23"/>
  <c r="G217" i="23" s="1"/>
  <c r="N53" i="23"/>
  <c r="H216" i="23" s="1"/>
  <c r="M53" i="23"/>
  <c r="G53" i="23"/>
  <c r="H215" i="23" s="1"/>
  <c r="F53" i="23"/>
  <c r="G215" i="23" s="1"/>
  <c r="S52" i="23"/>
  <c r="R52" i="23"/>
  <c r="Q52" i="23"/>
  <c r="L52" i="23"/>
  <c r="K52" i="23"/>
  <c r="J52" i="23"/>
  <c r="E52" i="23"/>
  <c r="D52" i="23"/>
  <c r="C52" i="23"/>
  <c r="B51" i="23"/>
  <c r="I51" i="23" s="1"/>
  <c r="P51" i="23" s="1"/>
  <c r="U50" i="23"/>
  <c r="Q201" i="23" s="1"/>
  <c r="T50" i="23"/>
  <c r="P201" i="23" s="1"/>
  <c r="N50" i="23"/>
  <c r="Q200" i="23" s="1"/>
  <c r="M50" i="23"/>
  <c r="P200" i="23" s="1"/>
  <c r="G50" i="23"/>
  <c r="Q199" i="23" s="1"/>
  <c r="F50" i="23"/>
  <c r="P199" i="23" s="1"/>
  <c r="U49" i="23"/>
  <c r="Q188" i="23" s="1"/>
  <c r="T49" i="23"/>
  <c r="P188" i="23" s="1"/>
  <c r="N49" i="23"/>
  <c r="Q187" i="23" s="1"/>
  <c r="M49" i="23"/>
  <c r="P187" i="23" s="1"/>
  <c r="G49" i="23"/>
  <c r="Q186" i="23" s="1"/>
  <c r="F49" i="23"/>
  <c r="P186" i="23" s="1"/>
  <c r="U48" i="23"/>
  <c r="Q175" i="23" s="1"/>
  <c r="T48" i="23"/>
  <c r="P175" i="23" s="1"/>
  <c r="N48" i="23"/>
  <c r="Q174" i="23" s="1"/>
  <c r="M48" i="23"/>
  <c r="P174" i="23" s="1"/>
  <c r="G48" i="23"/>
  <c r="Q173" i="23" s="1"/>
  <c r="F48" i="23"/>
  <c r="P173" i="23" s="1"/>
  <c r="U47" i="23"/>
  <c r="Q162" i="23" s="1"/>
  <c r="T47" i="23"/>
  <c r="P162" i="23" s="1"/>
  <c r="N47" i="23"/>
  <c r="Q161" i="23" s="1"/>
  <c r="M47" i="23"/>
  <c r="P161" i="23" s="1"/>
  <c r="G47" i="23"/>
  <c r="Q160" i="23" s="1"/>
  <c r="F47" i="23"/>
  <c r="P160" i="23" s="1"/>
  <c r="U46" i="23"/>
  <c r="Q149" i="23" s="1"/>
  <c r="T46" i="23"/>
  <c r="N46" i="23"/>
  <c r="Q148" i="23" s="1"/>
  <c r="M46" i="23"/>
  <c r="P148" i="23" s="1"/>
  <c r="G46" i="23"/>
  <c r="Q147" i="23" s="1"/>
  <c r="F46" i="23"/>
  <c r="P147" i="23" s="1"/>
  <c r="U45" i="23"/>
  <c r="Q136" i="23" s="1"/>
  <c r="P136" i="23"/>
  <c r="N45" i="23"/>
  <c r="Q135" i="23" s="1"/>
  <c r="P135" i="23"/>
  <c r="G45" i="23"/>
  <c r="Q134" i="23" s="1"/>
  <c r="P134" i="23"/>
  <c r="S44" i="23"/>
  <c r="R44" i="23"/>
  <c r="Q44" i="23"/>
  <c r="L44" i="23"/>
  <c r="K44" i="23"/>
  <c r="J44" i="23"/>
  <c r="E44" i="23"/>
  <c r="D44" i="23"/>
  <c r="C44" i="23"/>
  <c r="B43" i="23"/>
  <c r="I43" i="23" s="1"/>
  <c r="P43" i="23" s="1"/>
  <c r="U42" i="23"/>
  <c r="H201" i="23" s="1"/>
  <c r="T42" i="23"/>
  <c r="G201" i="23" s="1"/>
  <c r="N42" i="23"/>
  <c r="H200" i="23" s="1"/>
  <c r="G200" i="23"/>
  <c r="G42" i="23"/>
  <c r="H199" i="23" s="1"/>
  <c r="G199" i="23"/>
  <c r="U41" i="23"/>
  <c r="H188" i="23" s="1"/>
  <c r="T41" i="23"/>
  <c r="G188" i="23" s="1"/>
  <c r="N41" i="23"/>
  <c r="H187" i="23" s="1"/>
  <c r="M41" i="23"/>
  <c r="G187" i="23" s="1"/>
  <c r="G41" i="23"/>
  <c r="H186" i="23" s="1"/>
  <c r="F41" i="23"/>
  <c r="G186" i="23" s="1"/>
  <c r="U40" i="23"/>
  <c r="H175" i="23" s="1"/>
  <c r="T40" i="23"/>
  <c r="G175" i="23" s="1"/>
  <c r="N40" i="23"/>
  <c r="H174" i="23" s="1"/>
  <c r="M40" i="23"/>
  <c r="G174" i="23" s="1"/>
  <c r="G40" i="23"/>
  <c r="H173" i="23" s="1"/>
  <c r="F40" i="23"/>
  <c r="G173" i="23" s="1"/>
  <c r="U39" i="23"/>
  <c r="H162" i="23" s="1"/>
  <c r="T39" i="23"/>
  <c r="G162" i="23" s="1"/>
  <c r="N39" i="23"/>
  <c r="H161" i="23" s="1"/>
  <c r="M39" i="23"/>
  <c r="G161" i="23" s="1"/>
  <c r="G39" i="23"/>
  <c r="H160" i="23" s="1"/>
  <c r="F39" i="23"/>
  <c r="G160" i="23" s="1"/>
  <c r="U38" i="23"/>
  <c r="H149" i="23" s="1"/>
  <c r="T38" i="23"/>
  <c r="G149" i="23" s="1"/>
  <c r="N38" i="23"/>
  <c r="H148" i="23" s="1"/>
  <c r="M38" i="23"/>
  <c r="G148" i="23" s="1"/>
  <c r="G38" i="23"/>
  <c r="H147" i="23" s="1"/>
  <c r="F38" i="23"/>
  <c r="G147" i="23" s="1"/>
  <c r="U37" i="23"/>
  <c r="H136" i="23" s="1"/>
  <c r="T37" i="23"/>
  <c r="G136" i="23" s="1"/>
  <c r="N37" i="23"/>
  <c r="H135" i="23" s="1"/>
  <c r="M37" i="23"/>
  <c r="G135" i="23" s="1"/>
  <c r="G37" i="23"/>
  <c r="H134" i="23" s="1"/>
  <c r="F37" i="23"/>
  <c r="G134" i="23" s="1"/>
  <c r="B35" i="23"/>
  <c r="I35" i="23" s="1"/>
  <c r="P35" i="23" s="1"/>
  <c r="U31" i="23"/>
  <c r="Q253" i="23" s="1"/>
  <c r="T31" i="23"/>
  <c r="P253" i="23" s="1"/>
  <c r="N31" i="23"/>
  <c r="Q252" i="23" s="1"/>
  <c r="M31" i="23"/>
  <c r="P252" i="23" s="1"/>
  <c r="G31" i="23"/>
  <c r="Q251" i="23" s="1"/>
  <c r="F31" i="23"/>
  <c r="P251" i="23" s="1"/>
  <c r="U30" i="23"/>
  <c r="Q240" i="23" s="1"/>
  <c r="T30" i="23"/>
  <c r="P240" i="23" s="1"/>
  <c r="N30" i="23"/>
  <c r="Q239" i="23" s="1"/>
  <c r="M30" i="23"/>
  <c r="P239" i="23" s="1"/>
  <c r="G30" i="23"/>
  <c r="Q238" i="23" s="1"/>
  <c r="F30" i="23"/>
  <c r="P238" i="23" s="1"/>
  <c r="U29" i="23"/>
  <c r="Q227" i="23" s="1"/>
  <c r="T29" i="23"/>
  <c r="P227" i="23" s="1"/>
  <c r="N29" i="23"/>
  <c r="Q226" i="23" s="1"/>
  <c r="M29" i="23"/>
  <c r="P226" i="23" s="1"/>
  <c r="G29" i="23"/>
  <c r="Q225" i="23" s="1"/>
  <c r="F29" i="23"/>
  <c r="P225" i="23" s="1"/>
  <c r="U28" i="23"/>
  <c r="Q214" i="23" s="1"/>
  <c r="T28" i="23"/>
  <c r="P214" i="23" s="1"/>
  <c r="N28" i="23"/>
  <c r="Q213" i="23" s="1"/>
  <c r="P213" i="23"/>
  <c r="G28" i="23"/>
  <c r="Q212" i="23" s="1"/>
  <c r="F28" i="23"/>
  <c r="P212" i="23" s="1"/>
  <c r="S27" i="23"/>
  <c r="R27" i="23"/>
  <c r="Q27" i="23"/>
  <c r="L27" i="23"/>
  <c r="K27" i="23"/>
  <c r="J27" i="23"/>
  <c r="E27" i="23"/>
  <c r="D27" i="23"/>
  <c r="C27" i="23"/>
  <c r="P26" i="23"/>
  <c r="I26" i="23"/>
  <c r="U25" i="23"/>
  <c r="H253" i="23" s="1"/>
  <c r="T25" i="23"/>
  <c r="G253" i="23" s="1"/>
  <c r="N25" i="23"/>
  <c r="H252" i="23" s="1"/>
  <c r="M25" i="23"/>
  <c r="G252" i="23" s="1"/>
  <c r="G25" i="23"/>
  <c r="H251" i="23" s="1"/>
  <c r="F25" i="23"/>
  <c r="G251" i="23" s="1"/>
  <c r="U24" i="23"/>
  <c r="H240" i="23" s="1"/>
  <c r="T24" i="23"/>
  <c r="G240" i="23" s="1"/>
  <c r="N24" i="23"/>
  <c r="H239" i="23" s="1"/>
  <c r="M24" i="23"/>
  <c r="G239" i="23" s="1"/>
  <c r="G24" i="23"/>
  <c r="H238" i="23" s="1"/>
  <c r="F24" i="23"/>
  <c r="G238" i="23" s="1"/>
  <c r="U23" i="23"/>
  <c r="H227" i="23" s="1"/>
  <c r="G227" i="23"/>
  <c r="N23" i="23"/>
  <c r="H226" i="23" s="1"/>
  <c r="M23" i="23"/>
  <c r="G226" i="23" s="1"/>
  <c r="G23" i="23"/>
  <c r="H225" i="23" s="1"/>
  <c r="F23" i="23"/>
  <c r="G225" i="23" s="1"/>
  <c r="U22" i="23"/>
  <c r="H214" i="23" s="1"/>
  <c r="G214" i="23"/>
  <c r="N22" i="23"/>
  <c r="H213" i="23" s="1"/>
  <c r="M22" i="23"/>
  <c r="G213" i="23" s="1"/>
  <c r="G22" i="23"/>
  <c r="H212" i="23" s="1"/>
  <c r="F22" i="23"/>
  <c r="G212" i="23" s="1"/>
  <c r="S21" i="23"/>
  <c r="R21" i="23"/>
  <c r="Q21" i="23"/>
  <c r="L21" i="23"/>
  <c r="K21" i="23"/>
  <c r="J21" i="23"/>
  <c r="E21" i="23"/>
  <c r="D21" i="23"/>
  <c r="C21" i="23"/>
  <c r="P20" i="23"/>
  <c r="I20" i="23"/>
  <c r="U19" i="23"/>
  <c r="Q198" i="23" s="1"/>
  <c r="T19" i="23"/>
  <c r="P198" i="23" s="1"/>
  <c r="N19" i="23"/>
  <c r="Q197" i="23" s="1"/>
  <c r="M19" i="23"/>
  <c r="P197" i="23" s="1"/>
  <c r="G19" i="23"/>
  <c r="Q196" i="23" s="1"/>
  <c r="F19" i="23"/>
  <c r="P196" i="23" s="1"/>
  <c r="U18" i="23"/>
  <c r="Q185" i="23" s="1"/>
  <c r="T18" i="23"/>
  <c r="P185" i="23" s="1"/>
  <c r="N18" i="23"/>
  <c r="Q184" i="23" s="1"/>
  <c r="M18" i="23"/>
  <c r="P184" i="23" s="1"/>
  <c r="G18" i="23"/>
  <c r="Q183" i="23" s="1"/>
  <c r="F18" i="23"/>
  <c r="P183" i="23" s="1"/>
  <c r="U17" i="23"/>
  <c r="Q172" i="23" s="1"/>
  <c r="T17" i="23"/>
  <c r="P172" i="23" s="1"/>
  <c r="N17" i="23"/>
  <c r="Q171" i="23" s="1"/>
  <c r="M17" i="23"/>
  <c r="P171" i="23" s="1"/>
  <c r="G17" i="23"/>
  <c r="Q170" i="23" s="1"/>
  <c r="F17" i="23"/>
  <c r="P170" i="23" s="1"/>
  <c r="U16" i="23"/>
  <c r="Q159" i="23" s="1"/>
  <c r="T16" i="23"/>
  <c r="P159" i="23" s="1"/>
  <c r="N16" i="23"/>
  <c r="Q158" i="23" s="1"/>
  <c r="M16" i="23"/>
  <c r="P158" i="23" s="1"/>
  <c r="G16" i="23"/>
  <c r="Q157" i="23" s="1"/>
  <c r="F16" i="23"/>
  <c r="P157" i="23" s="1"/>
  <c r="U15" i="23"/>
  <c r="Q146" i="23" s="1"/>
  <c r="T15" i="23"/>
  <c r="P146" i="23" s="1"/>
  <c r="N15" i="23"/>
  <c r="Q145" i="23" s="1"/>
  <c r="M15" i="23"/>
  <c r="P145" i="23" s="1"/>
  <c r="G15" i="23"/>
  <c r="Q144" i="23" s="1"/>
  <c r="F15" i="23"/>
  <c r="P144" i="23" s="1"/>
  <c r="U14" i="23"/>
  <c r="Q133" i="23" s="1"/>
  <c r="P133" i="23"/>
  <c r="N14" i="23"/>
  <c r="Q132" i="23" s="1"/>
  <c r="P132" i="23"/>
  <c r="G14" i="23"/>
  <c r="Q131" i="23" s="1"/>
  <c r="P131" i="23"/>
  <c r="S13" i="23"/>
  <c r="R13" i="23"/>
  <c r="Q13" i="23"/>
  <c r="L13" i="23"/>
  <c r="K13" i="23"/>
  <c r="J13" i="23"/>
  <c r="E13" i="23"/>
  <c r="D13" i="23"/>
  <c r="C13" i="23"/>
  <c r="P12" i="23"/>
  <c r="I12" i="23"/>
  <c r="U11" i="23"/>
  <c r="H198" i="23" s="1"/>
  <c r="T11" i="23"/>
  <c r="G198" i="23" s="1"/>
  <c r="N11" i="23"/>
  <c r="H197" i="23" s="1"/>
  <c r="G197" i="23"/>
  <c r="G11" i="23"/>
  <c r="H196" i="23" s="1"/>
  <c r="F11" i="23"/>
  <c r="G196" i="23" s="1"/>
  <c r="U10" i="23"/>
  <c r="H185" i="23" s="1"/>
  <c r="T10" i="23"/>
  <c r="G185" i="23" s="1"/>
  <c r="N10" i="23"/>
  <c r="H184" i="23" s="1"/>
  <c r="M10" i="23"/>
  <c r="G184" i="23" s="1"/>
  <c r="G10" i="23"/>
  <c r="H183" i="23" s="1"/>
  <c r="F10" i="23"/>
  <c r="G183" i="23" s="1"/>
  <c r="U9" i="23"/>
  <c r="H172" i="23" s="1"/>
  <c r="T9" i="23"/>
  <c r="G172" i="23" s="1"/>
  <c r="N9" i="23"/>
  <c r="H171" i="23" s="1"/>
  <c r="M9" i="23"/>
  <c r="G171" i="23" s="1"/>
  <c r="G9" i="23"/>
  <c r="H170" i="23" s="1"/>
  <c r="F9" i="23"/>
  <c r="G170" i="23" s="1"/>
  <c r="U8" i="23"/>
  <c r="H159" i="23" s="1"/>
  <c r="T8" i="23"/>
  <c r="G159" i="23" s="1"/>
  <c r="N8" i="23"/>
  <c r="H158" i="23" s="1"/>
  <c r="M8" i="23"/>
  <c r="G158" i="23" s="1"/>
  <c r="G8" i="23"/>
  <c r="H157" i="23" s="1"/>
  <c r="F8" i="23"/>
  <c r="G157" i="23" s="1"/>
  <c r="U7" i="23"/>
  <c r="H146" i="23" s="1"/>
  <c r="T7" i="23"/>
  <c r="G146" i="23" s="1"/>
  <c r="N7" i="23"/>
  <c r="H145" i="23" s="1"/>
  <c r="M7" i="23"/>
  <c r="G145" i="23" s="1"/>
  <c r="G7" i="23"/>
  <c r="H144" i="23" s="1"/>
  <c r="F7" i="23"/>
  <c r="G144" i="23" s="1"/>
  <c r="U6" i="23"/>
  <c r="H133" i="23" s="1"/>
  <c r="T6" i="23"/>
  <c r="G133" i="23" s="1"/>
  <c r="N6" i="23"/>
  <c r="H132" i="23" s="1"/>
  <c r="M6" i="23"/>
  <c r="G132" i="23" s="1"/>
  <c r="G6" i="23"/>
  <c r="H131" i="23" s="1"/>
  <c r="F6" i="23"/>
  <c r="G131" i="23" s="1"/>
  <c r="P4" i="23"/>
  <c r="I4" i="23"/>
  <c r="V378" i="18"/>
  <c r="V377" i="18"/>
  <c r="T378" i="18"/>
  <c r="T377" i="18"/>
  <c r="A389" i="18"/>
  <c r="A410" i="18" s="1"/>
  <c r="A373" i="18" s="1"/>
  <c r="K409" i="18"/>
  <c r="J409" i="18"/>
  <c r="I409" i="18"/>
  <c r="K408" i="18"/>
  <c r="J408" i="18"/>
  <c r="K407" i="18"/>
  <c r="J407" i="18"/>
  <c r="I407" i="18"/>
  <c r="K406" i="18"/>
  <c r="J406" i="18"/>
  <c r="I406" i="18"/>
  <c r="K405" i="18"/>
  <c r="J405" i="18"/>
  <c r="I405" i="18"/>
  <c r="K404" i="18"/>
  <c r="J404" i="18"/>
  <c r="I404" i="18"/>
  <c r="K403" i="18"/>
  <c r="J403" i="18"/>
  <c r="I403" i="18"/>
  <c r="K402" i="18"/>
  <c r="J402" i="18"/>
  <c r="I402" i="18"/>
  <c r="K401" i="18"/>
  <c r="J401" i="18"/>
  <c r="I401" i="18"/>
  <c r="K400" i="18"/>
  <c r="J400" i="18"/>
  <c r="I400" i="18"/>
  <c r="K399" i="18"/>
  <c r="J399" i="18"/>
  <c r="I399" i="18"/>
  <c r="K398" i="18"/>
  <c r="J398" i="18"/>
  <c r="I398" i="18"/>
  <c r="K397" i="18"/>
  <c r="J397" i="18"/>
  <c r="I397" i="18"/>
  <c r="K396" i="18"/>
  <c r="J396" i="18"/>
  <c r="I396" i="18"/>
  <c r="K395" i="18"/>
  <c r="J395" i="18"/>
  <c r="I395" i="18"/>
  <c r="K394" i="18"/>
  <c r="J394" i="18"/>
  <c r="I394" i="18"/>
  <c r="K393" i="18"/>
  <c r="J393" i="18"/>
  <c r="I393" i="18"/>
  <c r="K392" i="18"/>
  <c r="J392" i="18"/>
  <c r="I392" i="18"/>
  <c r="K391" i="18"/>
  <c r="J391" i="18"/>
  <c r="I391" i="18"/>
  <c r="K390" i="18"/>
  <c r="J390" i="18"/>
  <c r="I390" i="18"/>
  <c r="B373" i="18"/>
  <c r="H373" i="18" s="1"/>
  <c r="V371" i="18"/>
  <c r="U371" i="18"/>
  <c r="T371" i="18"/>
  <c r="S371" i="18"/>
  <c r="N371" i="18"/>
  <c r="M371" i="18"/>
  <c r="L371" i="18"/>
  <c r="K371" i="18"/>
  <c r="F371" i="18"/>
  <c r="E371" i="18"/>
  <c r="D371" i="18"/>
  <c r="C371" i="18"/>
  <c r="V370" i="18"/>
  <c r="U370" i="18"/>
  <c r="T370" i="18"/>
  <c r="S370" i="18"/>
  <c r="N370" i="18"/>
  <c r="M370" i="18"/>
  <c r="L370" i="18"/>
  <c r="K370" i="18"/>
  <c r="F370" i="18"/>
  <c r="E370" i="18"/>
  <c r="D370" i="18"/>
  <c r="C370" i="18"/>
  <c r="V369" i="18"/>
  <c r="U369" i="18"/>
  <c r="T369" i="18"/>
  <c r="S369" i="18"/>
  <c r="N369" i="18"/>
  <c r="M369" i="18"/>
  <c r="L369" i="18"/>
  <c r="K369" i="18"/>
  <c r="F369" i="18"/>
  <c r="E369" i="18"/>
  <c r="D369" i="18"/>
  <c r="C369" i="18"/>
  <c r="V368" i="18"/>
  <c r="U368" i="18"/>
  <c r="T368" i="18"/>
  <c r="S368" i="18"/>
  <c r="N368" i="18"/>
  <c r="M368" i="18"/>
  <c r="L368" i="18"/>
  <c r="K368" i="18"/>
  <c r="F368" i="18"/>
  <c r="E368" i="18"/>
  <c r="D368" i="18"/>
  <c r="C368" i="18"/>
  <c r="V367" i="18"/>
  <c r="U367" i="18"/>
  <c r="T367" i="18"/>
  <c r="S367" i="18"/>
  <c r="N367" i="18"/>
  <c r="M367" i="18"/>
  <c r="L367" i="18"/>
  <c r="K367" i="18"/>
  <c r="F367" i="18"/>
  <c r="E367" i="18"/>
  <c r="D367" i="18"/>
  <c r="C367" i="18"/>
  <c r="V366" i="18"/>
  <c r="U366" i="18"/>
  <c r="T366" i="18"/>
  <c r="S366" i="18"/>
  <c r="N366" i="18"/>
  <c r="M366" i="18"/>
  <c r="L366" i="18"/>
  <c r="K366" i="18"/>
  <c r="F366" i="18"/>
  <c r="E366" i="18"/>
  <c r="D366" i="18"/>
  <c r="C366" i="18"/>
  <c r="V365" i="18"/>
  <c r="U365" i="18"/>
  <c r="T365" i="18"/>
  <c r="S365" i="18"/>
  <c r="N365" i="18"/>
  <c r="M365" i="18"/>
  <c r="L365" i="18"/>
  <c r="K365" i="18"/>
  <c r="F365" i="18"/>
  <c r="E365" i="18"/>
  <c r="D365" i="18"/>
  <c r="C365" i="18"/>
  <c r="V364" i="18"/>
  <c r="U364" i="18"/>
  <c r="T364" i="18"/>
  <c r="S364" i="18"/>
  <c r="N364" i="18"/>
  <c r="M364" i="18"/>
  <c r="L364" i="18"/>
  <c r="K364" i="18"/>
  <c r="F364" i="18"/>
  <c r="E364" i="18"/>
  <c r="D364" i="18"/>
  <c r="C364" i="18"/>
  <c r="V363" i="18"/>
  <c r="U363" i="18"/>
  <c r="T363" i="18"/>
  <c r="S363" i="18"/>
  <c r="N363" i="18"/>
  <c r="M363" i="18"/>
  <c r="L363" i="18"/>
  <c r="K363" i="18"/>
  <c r="F363" i="18"/>
  <c r="E363" i="18"/>
  <c r="D363" i="18"/>
  <c r="C363" i="18"/>
  <c r="V362" i="18"/>
  <c r="U362" i="18"/>
  <c r="T362" i="18"/>
  <c r="S362" i="18"/>
  <c r="N362" i="18"/>
  <c r="M362" i="18"/>
  <c r="L362" i="18"/>
  <c r="K362" i="18"/>
  <c r="F362" i="18"/>
  <c r="E362" i="18"/>
  <c r="D362" i="18"/>
  <c r="C362" i="18"/>
  <c r="V361" i="18"/>
  <c r="U361" i="18"/>
  <c r="T361" i="18"/>
  <c r="S361" i="18"/>
  <c r="N361" i="18"/>
  <c r="M361" i="18"/>
  <c r="L361" i="18"/>
  <c r="K361" i="18"/>
  <c r="F361" i="18"/>
  <c r="E361" i="18"/>
  <c r="D361" i="18"/>
  <c r="C361" i="18"/>
  <c r="V360" i="18"/>
  <c r="U360" i="18"/>
  <c r="T360" i="18"/>
  <c r="S360" i="18"/>
  <c r="N360" i="18"/>
  <c r="M360" i="18"/>
  <c r="L360" i="18"/>
  <c r="K360" i="18"/>
  <c r="F360" i="18"/>
  <c r="E360" i="18"/>
  <c r="D360" i="18"/>
  <c r="C360" i="18"/>
  <c r="V359" i="18"/>
  <c r="U359" i="18"/>
  <c r="T359" i="18"/>
  <c r="S359" i="18"/>
  <c r="N359" i="18"/>
  <c r="M359" i="18"/>
  <c r="L359" i="18"/>
  <c r="K359" i="18"/>
  <c r="F359" i="18"/>
  <c r="E359" i="18"/>
  <c r="D359" i="18"/>
  <c r="C359" i="18"/>
  <c r="V358" i="18"/>
  <c r="U358" i="18"/>
  <c r="T358" i="18"/>
  <c r="S358" i="18"/>
  <c r="N358" i="18"/>
  <c r="M358" i="18"/>
  <c r="L358" i="18"/>
  <c r="K358" i="18"/>
  <c r="F358" i="18"/>
  <c r="E358" i="18"/>
  <c r="D358" i="18"/>
  <c r="C358" i="18"/>
  <c r="V357" i="18"/>
  <c r="U357" i="18"/>
  <c r="T357" i="18"/>
  <c r="S357" i="18"/>
  <c r="N357" i="18"/>
  <c r="M357" i="18"/>
  <c r="L357" i="18"/>
  <c r="K357" i="18"/>
  <c r="F357" i="18"/>
  <c r="E357" i="18"/>
  <c r="D357" i="18"/>
  <c r="C357" i="18"/>
  <c r="V356" i="18"/>
  <c r="U356" i="18"/>
  <c r="T356" i="18"/>
  <c r="S356" i="18"/>
  <c r="N356" i="18"/>
  <c r="M356" i="18"/>
  <c r="L356" i="18"/>
  <c r="K356" i="18"/>
  <c r="F356" i="18"/>
  <c r="E356" i="18"/>
  <c r="D356" i="18"/>
  <c r="C356" i="18"/>
  <c r="V355" i="18"/>
  <c r="U355" i="18"/>
  <c r="T355" i="18"/>
  <c r="S355" i="18"/>
  <c r="N355" i="18"/>
  <c r="M355" i="18"/>
  <c r="L355" i="18"/>
  <c r="K355" i="18"/>
  <c r="F355" i="18"/>
  <c r="E355" i="18"/>
  <c r="D355" i="18"/>
  <c r="C355" i="18"/>
  <c r="V354" i="18"/>
  <c r="U354" i="18"/>
  <c r="T354" i="18"/>
  <c r="S354" i="18"/>
  <c r="N354" i="18"/>
  <c r="M354" i="18"/>
  <c r="L354" i="18"/>
  <c r="K354" i="18"/>
  <c r="F354" i="18"/>
  <c r="E354" i="18"/>
  <c r="D354" i="18"/>
  <c r="C354" i="18"/>
  <c r="V353" i="18"/>
  <c r="U353" i="18"/>
  <c r="T353" i="18"/>
  <c r="S353" i="18"/>
  <c r="N353" i="18"/>
  <c r="M353" i="18"/>
  <c r="L353" i="18"/>
  <c r="K353" i="18"/>
  <c r="F353" i="18"/>
  <c r="E353" i="18"/>
  <c r="D353" i="18"/>
  <c r="C353" i="18"/>
  <c r="V352" i="18"/>
  <c r="U352" i="18"/>
  <c r="T352" i="18"/>
  <c r="S352" i="18"/>
  <c r="N352" i="18"/>
  <c r="M352" i="18"/>
  <c r="L352" i="18"/>
  <c r="K352" i="18"/>
  <c r="F352" i="18"/>
  <c r="E352" i="18"/>
  <c r="D352" i="18"/>
  <c r="C352" i="18"/>
  <c r="V350" i="18"/>
  <c r="U350" i="18"/>
  <c r="T350" i="18"/>
  <c r="S350" i="18"/>
  <c r="N350" i="18"/>
  <c r="M350" i="18"/>
  <c r="L350" i="18"/>
  <c r="K350" i="18"/>
  <c r="F350" i="18"/>
  <c r="E350" i="18"/>
  <c r="D350" i="18"/>
  <c r="C350" i="18"/>
  <c r="V349" i="18"/>
  <c r="U349" i="18"/>
  <c r="T349" i="18"/>
  <c r="S349" i="18"/>
  <c r="N349" i="18"/>
  <c r="M349" i="18"/>
  <c r="L349" i="18"/>
  <c r="K349" i="18"/>
  <c r="F349" i="18"/>
  <c r="E349" i="18"/>
  <c r="D349" i="18"/>
  <c r="C349" i="18"/>
  <c r="V348" i="18"/>
  <c r="U348" i="18"/>
  <c r="T348" i="18"/>
  <c r="S348" i="18"/>
  <c r="N348" i="18"/>
  <c r="M348" i="18"/>
  <c r="L348" i="18"/>
  <c r="K348" i="18"/>
  <c r="F348" i="18"/>
  <c r="E348" i="18"/>
  <c r="D348" i="18"/>
  <c r="C348" i="18"/>
  <c r="V347" i="18"/>
  <c r="U347" i="18"/>
  <c r="T347" i="18"/>
  <c r="S347" i="18"/>
  <c r="N347" i="18"/>
  <c r="M347" i="18"/>
  <c r="L347" i="18"/>
  <c r="K347" i="18"/>
  <c r="F347" i="18"/>
  <c r="E347" i="18"/>
  <c r="D347" i="18"/>
  <c r="C347" i="18"/>
  <c r="V346" i="18"/>
  <c r="U346" i="18"/>
  <c r="T346" i="18"/>
  <c r="S346" i="18"/>
  <c r="N346" i="18"/>
  <c r="M346" i="18"/>
  <c r="L346" i="18"/>
  <c r="K346" i="18"/>
  <c r="F346" i="18"/>
  <c r="E346" i="18"/>
  <c r="D346" i="18"/>
  <c r="C346" i="18"/>
  <c r="V345" i="18"/>
  <c r="U345" i="18"/>
  <c r="T345" i="18"/>
  <c r="S345" i="18"/>
  <c r="N345" i="18"/>
  <c r="M345" i="18"/>
  <c r="L345" i="18"/>
  <c r="K345" i="18"/>
  <c r="F345" i="18"/>
  <c r="E345" i="18"/>
  <c r="D345" i="18"/>
  <c r="C345" i="18"/>
  <c r="V344" i="18"/>
  <c r="U344" i="18"/>
  <c r="T344" i="18"/>
  <c r="S344" i="18"/>
  <c r="N344" i="18"/>
  <c r="M344" i="18"/>
  <c r="L344" i="18"/>
  <c r="K344" i="18"/>
  <c r="F344" i="18"/>
  <c r="E344" i="18"/>
  <c r="D344" i="18"/>
  <c r="C344" i="18"/>
  <c r="V343" i="18"/>
  <c r="U343" i="18"/>
  <c r="T343" i="18"/>
  <c r="S343" i="18"/>
  <c r="N343" i="18"/>
  <c r="M343" i="18"/>
  <c r="L343" i="18"/>
  <c r="K343" i="18"/>
  <c r="F343" i="18"/>
  <c r="E343" i="18"/>
  <c r="D343" i="18"/>
  <c r="C343" i="18"/>
  <c r="V342" i="18"/>
  <c r="U342" i="18"/>
  <c r="T342" i="18"/>
  <c r="S342" i="18"/>
  <c r="N342" i="18"/>
  <c r="M342" i="18"/>
  <c r="L342" i="18"/>
  <c r="K342" i="18"/>
  <c r="F342" i="18"/>
  <c r="E342" i="18"/>
  <c r="D342" i="18"/>
  <c r="C342" i="18"/>
  <c r="V341" i="18"/>
  <c r="U341" i="18"/>
  <c r="T341" i="18"/>
  <c r="S341" i="18"/>
  <c r="N341" i="18"/>
  <c r="M341" i="18"/>
  <c r="L341" i="18"/>
  <c r="K341" i="18"/>
  <c r="F341" i="18"/>
  <c r="E341" i="18"/>
  <c r="D341" i="18"/>
  <c r="C341" i="18"/>
  <c r="V340" i="18"/>
  <c r="U340" i="18"/>
  <c r="T340" i="18"/>
  <c r="S340" i="18"/>
  <c r="N340" i="18"/>
  <c r="M340" i="18"/>
  <c r="L340" i="18"/>
  <c r="K340" i="18"/>
  <c r="F340" i="18"/>
  <c r="E340" i="18"/>
  <c r="D340" i="18"/>
  <c r="C340" i="18"/>
  <c r="V339" i="18"/>
  <c r="U339" i="18"/>
  <c r="T339" i="18"/>
  <c r="S339" i="18"/>
  <c r="N339" i="18"/>
  <c r="M339" i="18"/>
  <c r="L339" i="18"/>
  <c r="K339" i="18"/>
  <c r="F339" i="18"/>
  <c r="E339" i="18"/>
  <c r="D339" i="18"/>
  <c r="C339" i="18"/>
  <c r="V338" i="18"/>
  <c r="U338" i="18"/>
  <c r="T338" i="18"/>
  <c r="S338" i="18"/>
  <c r="N338" i="18"/>
  <c r="M338" i="18"/>
  <c r="L338" i="18"/>
  <c r="K338" i="18"/>
  <c r="F338" i="18"/>
  <c r="E338" i="18"/>
  <c r="D338" i="18"/>
  <c r="C338" i="18"/>
  <c r="V337" i="18"/>
  <c r="U337" i="18"/>
  <c r="T337" i="18"/>
  <c r="S337" i="18"/>
  <c r="N337" i="18"/>
  <c r="M337" i="18"/>
  <c r="L337" i="18"/>
  <c r="K337" i="18"/>
  <c r="F337" i="18"/>
  <c r="E337" i="18"/>
  <c r="D337" i="18"/>
  <c r="C337" i="18"/>
  <c r="V336" i="18"/>
  <c r="U336" i="18"/>
  <c r="T336" i="18"/>
  <c r="S336" i="18"/>
  <c r="N336" i="18"/>
  <c r="M336" i="18"/>
  <c r="L336" i="18"/>
  <c r="K336" i="18"/>
  <c r="F336" i="18"/>
  <c r="E336" i="18"/>
  <c r="D336" i="18"/>
  <c r="C336" i="18"/>
  <c r="V335" i="18"/>
  <c r="U335" i="18"/>
  <c r="T335" i="18"/>
  <c r="S335" i="18"/>
  <c r="N335" i="18"/>
  <c r="M335" i="18"/>
  <c r="L335" i="18"/>
  <c r="K335" i="18"/>
  <c r="F335" i="18"/>
  <c r="E335" i="18"/>
  <c r="D335" i="18"/>
  <c r="C335" i="18"/>
  <c r="V334" i="18"/>
  <c r="U334" i="18"/>
  <c r="T334" i="18"/>
  <c r="S334" i="18"/>
  <c r="N334" i="18"/>
  <c r="M334" i="18"/>
  <c r="L334" i="18"/>
  <c r="K334" i="18"/>
  <c r="F334" i="18"/>
  <c r="E334" i="18"/>
  <c r="D334" i="18"/>
  <c r="C334" i="18"/>
  <c r="V333" i="18"/>
  <c r="U333" i="18"/>
  <c r="T333" i="18"/>
  <c r="S333" i="18"/>
  <c r="N333" i="18"/>
  <c r="M333" i="18"/>
  <c r="L333" i="18"/>
  <c r="K333" i="18"/>
  <c r="F333" i="18"/>
  <c r="E333" i="18"/>
  <c r="D333" i="18"/>
  <c r="C333" i="18"/>
  <c r="V332" i="18"/>
  <c r="U332" i="18"/>
  <c r="T332" i="18"/>
  <c r="S332" i="18"/>
  <c r="N332" i="18"/>
  <c r="M332" i="18"/>
  <c r="L332" i="18"/>
  <c r="K332" i="18"/>
  <c r="F332" i="18"/>
  <c r="E332" i="18"/>
  <c r="D332" i="18"/>
  <c r="C332" i="18"/>
  <c r="V331" i="18"/>
  <c r="U331" i="18"/>
  <c r="T331" i="18"/>
  <c r="S331" i="18"/>
  <c r="N331" i="18"/>
  <c r="M331" i="18"/>
  <c r="L331" i="18"/>
  <c r="K331" i="18"/>
  <c r="F331" i="18"/>
  <c r="E331" i="18"/>
  <c r="D331" i="18"/>
  <c r="C331" i="18"/>
  <c r="V329" i="18"/>
  <c r="U329" i="18"/>
  <c r="T329" i="18"/>
  <c r="S329" i="18"/>
  <c r="N329" i="18"/>
  <c r="M329" i="18"/>
  <c r="L329" i="18"/>
  <c r="K329" i="18"/>
  <c r="F329" i="18"/>
  <c r="E329" i="18"/>
  <c r="D329" i="18"/>
  <c r="C329" i="18"/>
  <c r="V328" i="18"/>
  <c r="U328" i="18"/>
  <c r="T328" i="18"/>
  <c r="S328" i="18"/>
  <c r="N328" i="18"/>
  <c r="M328" i="18"/>
  <c r="L328" i="18"/>
  <c r="K328" i="18"/>
  <c r="F328" i="18"/>
  <c r="E328" i="18"/>
  <c r="D328" i="18"/>
  <c r="C328" i="18"/>
  <c r="V327" i="18"/>
  <c r="U327" i="18"/>
  <c r="T327" i="18"/>
  <c r="S327" i="18"/>
  <c r="N327" i="18"/>
  <c r="M327" i="18"/>
  <c r="L327" i="18"/>
  <c r="K327" i="18"/>
  <c r="F327" i="18"/>
  <c r="E327" i="18"/>
  <c r="D327" i="18"/>
  <c r="C327" i="18"/>
  <c r="V326" i="18"/>
  <c r="U326" i="18"/>
  <c r="T326" i="18"/>
  <c r="S326" i="18"/>
  <c r="N326" i="18"/>
  <c r="M326" i="18"/>
  <c r="L326" i="18"/>
  <c r="K326" i="18"/>
  <c r="F326" i="18"/>
  <c r="E326" i="18"/>
  <c r="D326" i="18"/>
  <c r="C326" i="18"/>
  <c r="V325" i="18"/>
  <c r="U325" i="18"/>
  <c r="T325" i="18"/>
  <c r="S325" i="18"/>
  <c r="N325" i="18"/>
  <c r="M325" i="18"/>
  <c r="L325" i="18"/>
  <c r="K325" i="18"/>
  <c r="F325" i="18"/>
  <c r="E325" i="18"/>
  <c r="D325" i="18"/>
  <c r="C325" i="18"/>
  <c r="V324" i="18"/>
  <c r="U324" i="18"/>
  <c r="T324" i="18"/>
  <c r="S324" i="18"/>
  <c r="N324" i="18"/>
  <c r="M324" i="18"/>
  <c r="L324" i="18"/>
  <c r="K324" i="18"/>
  <c r="F324" i="18"/>
  <c r="E324" i="18"/>
  <c r="D324" i="18"/>
  <c r="C324" i="18"/>
  <c r="V323" i="18"/>
  <c r="U323" i="18"/>
  <c r="T323" i="18"/>
  <c r="S323" i="18"/>
  <c r="N323" i="18"/>
  <c r="M323" i="18"/>
  <c r="L323" i="18"/>
  <c r="K323" i="18"/>
  <c r="F323" i="18"/>
  <c r="E323" i="18"/>
  <c r="D323" i="18"/>
  <c r="C323" i="18"/>
  <c r="V322" i="18"/>
  <c r="U322" i="18"/>
  <c r="T322" i="18"/>
  <c r="S322" i="18"/>
  <c r="N322" i="18"/>
  <c r="M322" i="18"/>
  <c r="L322" i="18"/>
  <c r="K322" i="18"/>
  <c r="F322" i="18"/>
  <c r="E322" i="18"/>
  <c r="D322" i="18"/>
  <c r="C322" i="18"/>
  <c r="V321" i="18"/>
  <c r="U321" i="18"/>
  <c r="T321" i="18"/>
  <c r="S321" i="18"/>
  <c r="N321" i="18"/>
  <c r="M321" i="18"/>
  <c r="L321" i="18"/>
  <c r="K321" i="18"/>
  <c r="F321" i="18"/>
  <c r="E321" i="18"/>
  <c r="D321" i="18"/>
  <c r="C321" i="18"/>
  <c r="V320" i="18"/>
  <c r="U320" i="18"/>
  <c r="T320" i="18"/>
  <c r="S320" i="18"/>
  <c r="N320" i="18"/>
  <c r="M320" i="18"/>
  <c r="L320" i="18"/>
  <c r="K320" i="18"/>
  <c r="F320" i="18"/>
  <c r="E320" i="18"/>
  <c r="D320" i="18"/>
  <c r="C320" i="18"/>
  <c r="V319" i="18"/>
  <c r="U319" i="18"/>
  <c r="T319" i="18"/>
  <c r="S319" i="18"/>
  <c r="N319" i="18"/>
  <c r="M319" i="18"/>
  <c r="L319" i="18"/>
  <c r="K319" i="18"/>
  <c r="F319" i="18"/>
  <c r="E319" i="18"/>
  <c r="D319" i="18"/>
  <c r="C319" i="18"/>
  <c r="V318" i="18"/>
  <c r="U318" i="18"/>
  <c r="T318" i="18"/>
  <c r="S318" i="18"/>
  <c r="N318" i="18"/>
  <c r="M318" i="18"/>
  <c r="L318" i="18"/>
  <c r="K318" i="18"/>
  <c r="F318" i="18"/>
  <c r="E318" i="18"/>
  <c r="D318" i="18"/>
  <c r="C318" i="18"/>
  <c r="V317" i="18"/>
  <c r="U317" i="18"/>
  <c r="T317" i="18"/>
  <c r="S317" i="18"/>
  <c r="N317" i="18"/>
  <c r="M317" i="18"/>
  <c r="L317" i="18"/>
  <c r="K317" i="18"/>
  <c r="F317" i="18"/>
  <c r="E317" i="18"/>
  <c r="D317" i="18"/>
  <c r="C317" i="18"/>
  <c r="V316" i="18"/>
  <c r="U316" i="18"/>
  <c r="T316" i="18"/>
  <c r="S316" i="18"/>
  <c r="N316" i="18"/>
  <c r="M316" i="18"/>
  <c r="L316" i="18"/>
  <c r="K316" i="18"/>
  <c r="F316" i="18"/>
  <c r="E316" i="18"/>
  <c r="D316" i="18"/>
  <c r="C316" i="18"/>
  <c r="V315" i="18"/>
  <c r="U315" i="18"/>
  <c r="T315" i="18"/>
  <c r="S315" i="18"/>
  <c r="N315" i="18"/>
  <c r="M315" i="18"/>
  <c r="L315" i="18"/>
  <c r="K315" i="18"/>
  <c r="F315" i="18"/>
  <c r="E315" i="18"/>
  <c r="D315" i="18"/>
  <c r="C315" i="18"/>
  <c r="V314" i="18"/>
  <c r="U314" i="18"/>
  <c r="T314" i="18"/>
  <c r="S314" i="18"/>
  <c r="N314" i="18"/>
  <c r="M314" i="18"/>
  <c r="L314" i="18"/>
  <c r="K314" i="18"/>
  <c r="F314" i="18"/>
  <c r="E314" i="18"/>
  <c r="D314" i="18"/>
  <c r="C314" i="18"/>
  <c r="V313" i="18"/>
  <c r="U313" i="18"/>
  <c r="T313" i="18"/>
  <c r="S313" i="18"/>
  <c r="N313" i="18"/>
  <c r="M313" i="18"/>
  <c r="L313" i="18"/>
  <c r="K313" i="18"/>
  <c r="F313" i="18"/>
  <c r="E313" i="18"/>
  <c r="D313" i="18"/>
  <c r="C313" i="18"/>
  <c r="V312" i="18"/>
  <c r="U312" i="18"/>
  <c r="T312" i="18"/>
  <c r="S312" i="18"/>
  <c r="N312" i="18"/>
  <c r="M312" i="18"/>
  <c r="L312" i="18"/>
  <c r="K312" i="18"/>
  <c r="F312" i="18"/>
  <c r="E312" i="18"/>
  <c r="D312" i="18"/>
  <c r="C312" i="18"/>
  <c r="V311" i="18"/>
  <c r="U311" i="18"/>
  <c r="T311" i="18"/>
  <c r="S311" i="18"/>
  <c r="N311" i="18"/>
  <c r="M311" i="18"/>
  <c r="L311" i="18"/>
  <c r="K311" i="18"/>
  <c r="F311" i="18"/>
  <c r="E311" i="18"/>
  <c r="D311" i="18"/>
  <c r="C311" i="18"/>
  <c r="V310" i="18"/>
  <c r="U310" i="18"/>
  <c r="T310" i="18"/>
  <c r="S310" i="18"/>
  <c r="N310" i="18"/>
  <c r="M310" i="18"/>
  <c r="L310" i="18"/>
  <c r="K310" i="18"/>
  <c r="F310" i="18"/>
  <c r="E310" i="18"/>
  <c r="D310" i="18"/>
  <c r="C310" i="18"/>
  <c r="V308" i="18"/>
  <c r="U308" i="18"/>
  <c r="T308" i="18"/>
  <c r="S308" i="18"/>
  <c r="O308" i="18"/>
  <c r="N308" i="18"/>
  <c r="M308" i="18"/>
  <c r="L308" i="18"/>
  <c r="K308" i="18"/>
  <c r="F308" i="18"/>
  <c r="E308" i="18"/>
  <c r="D308" i="18"/>
  <c r="C308" i="18"/>
  <c r="V307" i="18"/>
  <c r="U307" i="18"/>
  <c r="T307" i="18"/>
  <c r="S307" i="18"/>
  <c r="N307" i="18"/>
  <c r="M307" i="18"/>
  <c r="L307" i="18"/>
  <c r="K307" i="18"/>
  <c r="F307" i="18"/>
  <c r="E307" i="18"/>
  <c r="D307" i="18"/>
  <c r="C307" i="18"/>
  <c r="V306" i="18"/>
  <c r="U306" i="18"/>
  <c r="T306" i="18"/>
  <c r="S306" i="18"/>
  <c r="N306" i="18"/>
  <c r="M306" i="18"/>
  <c r="L306" i="18"/>
  <c r="K306" i="18"/>
  <c r="F306" i="18"/>
  <c r="E306" i="18"/>
  <c r="D306" i="18"/>
  <c r="C306" i="18"/>
  <c r="W305" i="18"/>
  <c r="V305" i="18"/>
  <c r="U305" i="18"/>
  <c r="T305" i="18"/>
  <c r="S305" i="18"/>
  <c r="N305" i="18"/>
  <c r="M305" i="18"/>
  <c r="L305" i="18"/>
  <c r="K305" i="18"/>
  <c r="F305" i="18"/>
  <c r="E305" i="18"/>
  <c r="D305" i="18"/>
  <c r="C305" i="18"/>
  <c r="V304" i="18"/>
  <c r="U304" i="18"/>
  <c r="T304" i="18"/>
  <c r="S304" i="18"/>
  <c r="N304" i="18"/>
  <c r="M304" i="18"/>
  <c r="L304" i="18"/>
  <c r="K304" i="18"/>
  <c r="F304" i="18"/>
  <c r="E304" i="18"/>
  <c r="D304" i="18"/>
  <c r="C304" i="18"/>
  <c r="V303" i="18"/>
  <c r="U303" i="18"/>
  <c r="T303" i="18"/>
  <c r="S303" i="18"/>
  <c r="N303" i="18"/>
  <c r="M303" i="18"/>
  <c r="L303" i="18"/>
  <c r="K303" i="18"/>
  <c r="F303" i="18"/>
  <c r="E303" i="18"/>
  <c r="D303" i="18"/>
  <c r="C303" i="18"/>
  <c r="V302" i="18"/>
  <c r="U302" i="18"/>
  <c r="T302" i="18"/>
  <c r="S302" i="18"/>
  <c r="N302" i="18"/>
  <c r="M302" i="18"/>
  <c r="L302" i="18"/>
  <c r="K302" i="18"/>
  <c r="F302" i="18"/>
  <c r="E302" i="18"/>
  <c r="D302" i="18"/>
  <c r="C302" i="18"/>
  <c r="V301" i="18"/>
  <c r="U301" i="18"/>
  <c r="T301" i="18"/>
  <c r="S301" i="18"/>
  <c r="N301" i="18"/>
  <c r="M301" i="18"/>
  <c r="L301" i="18"/>
  <c r="K301" i="18"/>
  <c r="F301" i="18"/>
  <c r="E301" i="18"/>
  <c r="D301" i="18"/>
  <c r="C301" i="18"/>
  <c r="V300" i="18"/>
  <c r="U300" i="18"/>
  <c r="T300" i="18"/>
  <c r="S300" i="18"/>
  <c r="N300" i="18"/>
  <c r="M300" i="18"/>
  <c r="L300" i="18"/>
  <c r="K300" i="18"/>
  <c r="F300" i="18"/>
  <c r="E300" i="18"/>
  <c r="D300" i="18"/>
  <c r="C300" i="18"/>
  <c r="V299" i="18"/>
  <c r="U299" i="18"/>
  <c r="T299" i="18"/>
  <c r="S299" i="18"/>
  <c r="N299" i="18"/>
  <c r="M299" i="18"/>
  <c r="L299" i="18"/>
  <c r="K299" i="18"/>
  <c r="F299" i="18"/>
  <c r="E299" i="18"/>
  <c r="D299" i="18"/>
  <c r="C299" i="18"/>
  <c r="V298" i="18"/>
  <c r="U298" i="18"/>
  <c r="T298" i="18"/>
  <c r="S298" i="18"/>
  <c r="N298" i="18"/>
  <c r="M298" i="18"/>
  <c r="L298" i="18"/>
  <c r="K298" i="18"/>
  <c r="F298" i="18"/>
  <c r="E298" i="18"/>
  <c r="D298" i="18"/>
  <c r="C298" i="18"/>
  <c r="V297" i="18"/>
  <c r="U297" i="18"/>
  <c r="T297" i="18"/>
  <c r="S297" i="18"/>
  <c r="N297" i="18"/>
  <c r="M297" i="18"/>
  <c r="L297" i="18"/>
  <c r="K297" i="18"/>
  <c r="F297" i="18"/>
  <c r="E297" i="18"/>
  <c r="D297" i="18"/>
  <c r="C297" i="18"/>
  <c r="V296" i="18"/>
  <c r="U296" i="18"/>
  <c r="T296" i="18"/>
  <c r="S296" i="18"/>
  <c r="N296" i="18"/>
  <c r="M296" i="18"/>
  <c r="L296" i="18"/>
  <c r="K296" i="18"/>
  <c r="F296" i="18"/>
  <c r="E296" i="18"/>
  <c r="D296" i="18"/>
  <c r="C296" i="18"/>
  <c r="V295" i="18"/>
  <c r="U295" i="18"/>
  <c r="T295" i="18"/>
  <c r="S295" i="18"/>
  <c r="N295" i="18"/>
  <c r="M295" i="18"/>
  <c r="L295" i="18"/>
  <c r="K295" i="18"/>
  <c r="F295" i="18"/>
  <c r="E295" i="18"/>
  <c r="D295" i="18"/>
  <c r="C295" i="18"/>
  <c r="V294" i="18"/>
  <c r="U294" i="18"/>
  <c r="T294" i="18"/>
  <c r="S294" i="18"/>
  <c r="N294" i="18"/>
  <c r="M294" i="18"/>
  <c r="L294" i="18"/>
  <c r="K294" i="18"/>
  <c r="F294" i="18"/>
  <c r="E294" i="18"/>
  <c r="D294" i="18"/>
  <c r="C294" i="18"/>
  <c r="V293" i="18"/>
  <c r="U293" i="18"/>
  <c r="T293" i="18"/>
  <c r="S293" i="18"/>
  <c r="N293" i="18"/>
  <c r="M293" i="18"/>
  <c r="L293" i="18"/>
  <c r="K293" i="18"/>
  <c r="F293" i="18"/>
  <c r="E293" i="18"/>
  <c r="D293" i="18"/>
  <c r="C293" i="18"/>
  <c r="Z292" i="18"/>
  <c r="V292" i="18"/>
  <c r="U292" i="18"/>
  <c r="T292" i="18"/>
  <c r="S292" i="18"/>
  <c r="N292" i="18"/>
  <c r="M292" i="18"/>
  <c r="L292" i="18"/>
  <c r="K292" i="18"/>
  <c r="F292" i="18"/>
  <c r="E292" i="18"/>
  <c r="D292" i="18"/>
  <c r="C292" i="18"/>
  <c r="Z291" i="18"/>
  <c r="V291" i="18"/>
  <c r="U291" i="18"/>
  <c r="T291" i="18"/>
  <c r="S291" i="18"/>
  <c r="N291" i="18"/>
  <c r="M291" i="18"/>
  <c r="L291" i="18"/>
  <c r="K291" i="18"/>
  <c r="F291" i="18"/>
  <c r="E291" i="18"/>
  <c r="D291" i="18"/>
  <c r="C291" i="18"/>
  <c r="Z290" i="18"/>
  <c r="V290" i="18"/>
  <c r="U290" i="18"/>
  <c r="T290" i="18"/>
  <c r="S290" i="18"/>
  <c r="N290" i="18"/>
  <c r="M290" i="18"/>
  <c r="L290" i="18"/>
  <c r="K290" i="18"/>
  <c r="F290" i="18"/>
  <c r="E290" i="18"/>
  <c r="D290" i="18"/>
  <c r="C290" i="18"/>
  <c r="Z289" i="18"/>
  <c r="V289" i="18"/>
  <c r="U289" i="18"/>
  <c r="T289" i="18"/>
  <c r="S289" i="18"/>
  <c r="N289" i="18"/>
  <c r="M289" i="18"/>
  <c r="L289" i="18"/>
  <c r="K289" i="18"/>
  <c r="F289" i="18"/>
  <c r="E289" i="18"/>
  <c r="D289" i="18"/>
  <c r="C289" i="18"/>
  <c r="Z288" i="18"/>
  <c r="Z287" i="18"/>
  <c r="V287" i="18"/>
  <c r="U287" i="18"/>
  <c r="T287" i="18"/>
  <c r="S287" i="18"/>
  <c r="N287" i="18"/>
  <c r="M287" i="18"/>
  <c r="L287" i="18"/>
  <c r="K287" i="18"/>
  <c r="F287" i="18"/>
  <c r="E287" i="18"/>
  <c r="D287" i="18"/>
  <c r="C287" i="18"/>
  <c r="Z286" i="18"/>
  <c r="V286" i="18"/>
  <c r="U286" i="18"/>
  <c r="T286" i="18"/>
  <c r="S286" i="18"/>
  <c r="N286" i="18"/>
  <c r="M286" i="18"/>
  <c r="L286" i="18"/>
  <c r="K286" i="18"/>
  <c r="F286" i="18"/>
  <c r="E286" i="18"/>
  <c r="D286" i="18"/>
  <c r="C286" i="18"/>
  <c r="Z285" i="18"/>
  <c r="V285" i="18"/>
  <c r="U285" i="18"/>
  <c r="T285" i="18"/>
  <c r="S285" i="18"/>
  <c r="N285" i="18"/>
  <c r="M285" i="18"/>
  <c r="L285" i="18"/>
  <c r="K285" i="18"/>
  <c r="F285" i="18"/>
  <c r="E285" i="18"/>
  <c r="D285" i="18"/>
  <c r="C285" i="18"/>
  <c r="Z284" i="18"/>
  <c r="V284" i="18"/>
  <c r="U284" i="18"/>
  <c r="T284" i="18"/>
  <c r="S284" i="18"/>
  <c r="N284" i="18"/>
  <c r="M284" i="18"/>
  <c r="L284" i="18"/>
  <c r="K284" i="18"/>
  <c r="F284" i="18"/>
  <c r="E284" i="18"/>
  <c r="D284" i="18"/>
  <c r="C284" i="18"/>
  <c r="Z283" i="18"/>
  <c r="V283" i="18"/>
  <c r="U283" i="18"/>
  <c r="T283" i="18"/>
  <c r="S283" i="18"/>
  <c r="N283" i="18"/>
  <c r="M283" i="18"/>
  <c r="L283" i="18"/>
  <c r="K283" i="18"/>
  <c r="F283" i="18"/>
  <c r="E283" i="18"/>
  <c r="D283" i="18"/>
  <c r="C283" i="18"/>
  <c r="Z282" i="18"/>
  <c r="V282" i="18"/>
  <c r="U282" i="18"/>
  <c r="T282" i="18"/>
  <c r="S282" i="18"/>
  <c r="N282" i="18"/>
  <c r="M282" i="18"/>
  <c r="L282" i="18"/>
  <c r="K282" i="18"/>
  <c r="F282" i="18"/>
  <c r="E282" i="18"/>
  <c r="D282" i="18"/>
  <c r="C282" i="18"/>
  <c r="Z281" i="18"/>
  <c r="V281" i="18"/>
  <c r="U281" i="18"/>
  <c r="T281" i="18"/>
  <c r="S281" i="18"/>
  <c r="N281" i="18"/>
  <c r="M281" i="18"/>
  <c r="L281" i="18"/>
  <c r="K281" i="18"/>
  <c r="F281" i="18"/>
  <c r="E281" i="18"/>
  <c r="D281" i="18"/>
  <c r="C281" i="18"/>
  <c r="Z280" i="18"/>
  <c r="V280" i="18"/>
  <c r="U280" i="18"/>
  <c r="T280" i="18"/>
  <c r="S280" i="18"/>
  <c r="N280" i="18"/>
  <c r="M280" i="18"/>
  <c r="L280" i="18"/>
  <c r="K280" i="18"/>
  <c r="F280" i="18"/>
  <c r="E280" i="18"/>
  <c r="D280" i="18"/>
  <c r="C280" i="18"/>
  <c r="Z279" i="18"/>
  <c r="V279" i="18"/>
  <c r="U279" i="18"/>
  <c r="T279" i="18"/>
  <c r="S279" i="18"/>
  <c r="N279" i="18"/>
  <c r="M279" i="18"/>
  <c r="L279" i="18"/>
  <c r="K279" i="18"/>
  <c r="F279" i="18"/>
  <c r="E279" i="18"/>
  <c r="D279" i="18"/>
  <c r="C279" i="18"/>
  <c r="Z278" i="18"/>
  <c r="V278" i="18"/>
  <c r="U278" i="18"/>
  <c r="T278" i="18"/>
  <c r="S278" i="18"/>
  <c r="N278" i="18"/>
  <c r="M278" i="18"/>
  <c r="L278" i="18"/>
  <c r="K278" i="18"/>
  <c r="F278" i="18"/>
  <c r="E278" i="18"/>
  <c r="D278" i="18"/>
  <c r="C278" i="18"/>
  <c r="Z277" i="18"/>
  <c r="V277" i="18"/>
  <c r="U277" i="18"/>
  <c r="T277" i="18"/>
  <c r="S277" i="18"/>
  <c r="N277" i="18"/>
  <c r="M277" i="18"/>
  <c r="L277" i="18"/>
  <c r="K277" i="18"/>
  <c r="F277" i="18"/>
  <c r="E277" i="18"/>
  <c r="D277" i="18"/>
  <c r="C277" i="18"/>
  <c r="Z276" i="18"/>
  <c r="V276" i="18"/>
  <c r="U276" i="18"/>
  <c r="T276" i="18"/>
  <c r="S276" i="18"/>
  <c r="N276" i="18"/>
  <c r="M276" i="18"/>
  <c r="L276" i="18"/>
  <c r="K276" i="18"/>
  <c r="F276" i="18"/>
  <c r="E276" i="18"/>
  <c r="D276" i="18"/>
  <c r="C276" i="18"/>
  <c r="Z275" i="18"/>
  <c r="V275" i="18"/>
  <c r="U275" i="18"/>
  <c r="T275" i="18"/>
  <c r="S275" i="18"/>
  <c r="N275" i="18"/>
  <c r="M275" i="18"/>
  <c r="L275" i="18"/>
  <c r="K275" i="18"/>
  <c r="F275" i="18"/>
  <c r="E275" i="18"/>
  <c r="D275" i="18"/>
  <c r="C275" i="18"/>
  <c r="Z274" i="18"/>
  <c r="V274" i="18"/>
  <c r="U274" i="18"/>
  <c r="T274" i="18"/>
  <c r="S274" i="18"/>
  <c r="N274" i="18"/>
  <c r="M274" i="18"/>
  <c r="L274" i="18"/>
  <c r="K274" i="18"/>
  <c r="F274" i="18"/>
  <c r="E274" i="18"/>
  <c r="D274" i="18"/>
  <c r="C274" i="18"/>
  <c r="Z273" i="18"/>
  <c r="V273" i="18"/>
  <c r="U273" i="18"/>
  <c r="T273" i="18"/>
  <c r="S273" i="18"/>
  <c r="N273" i="18"/>
  <c r="M273" i="18"/>
  <c r="L273" i="18"/>
  <c r="K273" i="18"/>
  <c r="F273" i="18"/>
  <c r="E273" i="18"/>
  <c r="D273" i="18"/>
  <c r="C273" i="18"/>
  <c r="V272" i="18"/>
  <c r="U272" i="18"/>
  <c r="T272" i="18"/>
  <c r="S272" i="18"/>
  <c r="N272" i="18"/>
  <c r="M272" i="18"/>
  <c r="L272" i="18"/>
  <c r="K272" i="18"/>
  <c r="F272" i="18"/>
  <c r="E272" i="18"/>
  <c r="D272" i="18"/>
  <c r="C272" i="18"/>
  <c r="V271" i="18"/>
  <c r="U271" i="18"/>
  <c r="T271" i="18"/>
  <c r="S271" i="18"/>
  <c r="N271" i="18"/>
  <c r="M271" i="18"/>
  <c r="L271" i="18"/>
  <c r="K271" i="18"/>
  <c r="F271" i="18"/>
  <c r="E271" i="18"/>
  <c r="D271" i="18"/>
  <c r="C271" i="18"/>
  <c r="V270" i="18"/>
  <c r="U270" i="18"/>
  <c r="T270" i="18"/>
  <c r="S270" i="18"/>
  <c r="N270" i="18"/>
  <c r="M270" i="18"/>
  <c r="L270" i="18"/>
  <c r="K270" i="18"/>
  <c r="F270" i="18"/>
  <c r="E270" i="18"/>
  <c r="D270" i="18"/>
  <c r="C270" i="18"/>
  <c r="V269" i="18"/>
  <c r="U269" i="18"/>
  <c r="T269" i="18"/>
  <c r="S269" i="18"/>
  <c r="N269" i="18"/>
  <c r="M269" i="18"/>
  <c r="L269" i="18"/>
  <c r="K269" i="18"/>
  <c r="F269" i="18"/>
  <c r="E269" i="18"/>
  <c r="D269" i="18"/>
  <c r="C269" i="18"/>
  <c r="Z268" i="18"/>
  <c r="V268" i="18"/>
  <c r="U268" i="18"/>
  <c r="T268" i="18"/>
  <c r="S268" i="18"/>
  <c r="N268" i="18"/>
  <c r="M268" i="18"/>
  <c r="L268" i="18"/>
  <c r="K268" i="18"/>
  <c r="F268" i="18"/>
  <c r="E268" i="18"/>
  <c r="D268" i="18"/>
  <c r="C268" i="18"/>
  <c r="Z267" i="18"/>
  <c r="Z266" i="18"/>
  <c r="V266" i="18"/>
  <c r="U266" i="18"/>
  <c r="T266" i="18"/>
  <c r="S266" i="18"/>
  <c r="N266" i="18"/>
  <c r="M266" i="18"/>
  <c r="L266" i="18"/>
  <c r="K266" i="18"/>
  <c r="F266" i="18"/>
  <c r="E266" i="18"/>
  <c r="D266" i="18"/>
  <c r="C266" i="18"/>
  <c r="Z265" i="18"/>
  <c r="V265" i="18"/>
  <c r="U265" i="18"/>
  <c r="T265" i="18"/>
  <c r="S265" i="18"/>
  <c r="N265" i="18"/>
  <c r="M265" i="18"/>
  <c r="L265" i="18"/>
  <c r="K265" i="18"/>
  <c r="F265" i="18"/>
  <c r="E265" i="18"/>
  <c r="D265" i="18"/>
  <c r="C265" i="18"/>
  <c r="Z264" i="18"/>
  <c r="V264" i="18"/>
  <c r="U264" i="18"/>
  <c r="T264" i="18"/>
  <c r="S264" i="18"/>
  <c r="N264" i="18"/>
  <c r="M264" i="18"/>
  <c r="L264" i="18"/>
  <c r="K264" i="18"/>
  <c r="F264" i="18"/>
  <c r="E264" i="18"/>
  <c r="D264" i="18"/>
  <c r="C264" i="18"/>
  <c r="Z263" i="18"/>
  <c r="V263" i="18"/>
  <c r="U263" i="18"/>
  <c r="T263" i="18"/>
  <c r="S263" i="18"/>
  <c r="N263" i="18"/>
  <c r="M263" i="18"/>
  <c r="L263" i="18"/>
  <c r="K263" i="18"/>
  <c r="F263" i="18"/>
  <c r="E263" i="18"/>
  <c r="D263" i="18"/>
  <c r="C263" i="18"/>
  <c r="Z262" i="18"/>
  <c r="V262" i="18"/>
  <c r="U262" i="18"/>
  <c r="T262" i="18"/>
  <c r="S262" i="18"/>
  <c r="N262" i="18"/>
  <c r="M262" i="18"/>
  <c r="L262" i="18"/>
  <c r="K262" i="18"/>
  <c r="F262" i="18"/>
  <c r="E262" i="18"/>
  <c r="D262" i="18"/>
  <c r="C262" i="18"/>
  <c r="Z261" i="18"/>
  <c r="V261" i="18"/>
  <c r="U261" i="18"/>
  <c r="T261" i="18"/>
  <c r="S261" i="18"/>
  <c r="N261" i="18"/>
  <c r="M261" i="18"/>
  <c r="L261" i="18"/>
  <c r="K261" i="18"/>
  <c r="F261" i="18"/>
  <c r="E261" i="18"/>
  <c r="D261" i="18"/>
  <c r="C261" i="18"/>
  <c r="Z260" i="18"/>
  <c r="V260" i="18"/>
  <c r="U260" i="18"/>
  <c r="T260" i="18"/>
  <c r="S260" i="18"/>
  <c r="N260" i="18"/>
  <c r="M260" i="18"/>
  <c r="L260" i="18"/>
  <c r="K260" i="18"/>
  <c r="F260" i="18"/>
  <c r="E260" i="18"/>
  <c r="D260" i="18"/>
  <c r="C260" i="18"/>
  <c r="Z259" i="18"/>
  <c r="V259" i="18"/>
  <c r="U259" i="18"/>
  <c r="T259" i="18"/>
  <c r="S259" i="18"/>
  <c r="N259" i="18"/>
  <c r="M259" i="18"/>
  <c r="L259" i="18"/>
  <c r="K259" i="18"/>
  <c r="F259" i="18"/>
  <c r="E259" i="18"/>
  <c r="D259" i="18"/>
  <c r="C259" i="18"/>
  <c r="Z258" i="18"/>
  <c r="V258" i="18"/>
  <c r="U258" i="18"/>
  <c r="T258" i="18"/>
  <c r="S258" i="18"/>
  <c r="N258" i="18"/>
  <c r="M258" i="18"/>
  <c r="L258" i="18"/>
  <c r="K258" i="18"/>
  <c r="F258" i="18"/>
  <c r="E258" i="18"/>
  <c r="D258" i="18"/>
  <c r="C258" i="18"/>
  <c r="Z257" i="18"/>
  <c r="V257" i="18"/>
  <c r="U257" i="18"/>
  <c r="T257" i="18"/>
  <c r="S257" i="18"/>
  <c r="N257" i="18"/>
  <c r="M257" i="18"/>
  <c r="L257" i="18"/>
  <c r="K257" i="18"/>
  <c r="F257" i="18"/>
  <c r="E257" i="18"/>
  <c r="D257" i="18"/>
  <c r="C257" i="18"/>
  <c r="Z256" i="18"/>
  <c r="V256" i="18"/>
  <c r="U256" i="18"/>
  <c r="T256" i="18"/>
  <c r="S256" i="18"/>
  <c r="N256" i="18"/>
  <c r="M256" i="18"/>
  <c r="L256" i="18"/>
  <c r="K256" i="18"/>
  <c r="F256" i="18"/>
  <c r="E256" i="18"/>
  <c r="D256" i="18"/>
  <c r="C256" i="18"/>
  <c r="Z255" i="18"/>
  <c r="V255" i="18"/>
  <c r="U255" i="18"/>
  <c r="T255" i="18"/>
  <c r="S255" i="18"/>
  <c r="N255" i="18"/>
  <c r="M255" i="18"/>
  <c r="L255" i="18"/>
  <c r="K255" i="18"/>
  <c r="F255" i="18"/>
  <c r="E255" i="18"/>
  <c r="D255" i="18"/>
  <c r="C255" i="18"/>
  <c r="Z254" i="18"/>
  <c r="V254" i="18"/>
  <c r="U254" i="18"/>
  <c r="T254" i="18"/>
  <c r="S254" i="18"/>
  <c r="N254" i="18"/>
  <c r="M254" i="18"/>
  <c r="L254" i="18"/>
  <c r="K254" i="18"/>
  <c r="F254" i="18"/>
  <c r="E254" i="18"/>
  <c r="D254" i="18"/>
  <c r="C254" i="18"/>
  <c r="Z253" i="18"/>
  <c r="V253" i="18"/>
  <c r="U253" i="18"/>
  <c r="T253" i="18"/>
  <c r="S253" i="18"/>
  <c r="N253" i="18"/>
  <c r="M253" i="18"/>
  <c r="L253" i="18"/>
  <c r="K253" i="18"/>
  <c r="F253" i="18"/>
  <c r="E253" i="18"/>
  <c r="D253" i="18"/>
  <c r="C253" i="18"/>
  <c r="Z252" i="18"/>
  <c r="V252" i="18"/>
  <c r="U252" i="18"/>
  <c r="T252" i="18"/>
  <c r="S252" i="18"/>
  <c r="N252" i="18"/>
  <c r="M252" i="18"/>
  <c r="L252" i="18"/>
  <c r="K252" i="18"/>
  <c r="F252" i="18"/>
  <c r="E252" i="18"/>
  <c r="D252" i="18"/>
  <c r="C252" i="18"/>
  <c r="Z251" i="18"/>
  <c r="V251" i="18"/>
  <c r="U251" i="18"/>
  <c r="T251" i="18"/>
  <c r="S251" i="18"/>
  <c r="N251" i="18"/>
  <c r="M251" i="18"/>
  <c r="L251" i="18"/>
  <c r="K251" i="18"/>
  <c r="F251" i="18"/>
  <c r="E251" i="18"/>
  <c r="D251" i="18"/>
  <c r="C251" i="18"/>
  <c r="Z250" i="18"/>
  <c r="V250" i="18"/>
  <c r="U250" i="18"/>
  <c r="T250" i="18"/>
  <c r="S250" i="18"/>
  <c r="N250" i="18"/>
  <c r="M250" i="18"/>
  <c r="L250" i="18"/>
  <c r="K250" i="18"/>
  <c r="F250" i="18"/>
  <c r="E250" i="18"/>
  <c r="D250" i="18"/>
  <c r="C250" i="18"/>
  <c r="Z249" i="18"/>
  <c r="V249" i="18"/>
  <c r="U249" i="18"/>
  <c r="T249" i="18"/>
  <c r="S249" i="18"/>
  <c r="N249" i="18"/>
  <c r="M249" i="18"/>
  <c r="L249" i="18"/>
  <c r="K249" i="18"/>
  <c r="F249" i="18"/>
  <c r="E249" i="18"/>
  <c r="D249" i="18"/>
  <c r="C249" i="18"/>
  <c r="V248" i="18"/>
  <c r="U248" i="18"/>
  <c r="T248" i="18"/>
  <c r="S248" i="18"/>
  <c r="N248" i="18"/>
  <c r="M248" i="18"/>
  <c r="L248" i="18"/>
  <c r="K248" i="18"/>
  <c r="F248" i="18"/>
  <c r="E248" i="18"/>
  <c r="D248" i="18"/>
  <c r="C248" i="18"/>
  <c r="W247" i="18"/>
  <c r="V247" i="18"/>
  <c r="U247" i="18"/>
  <c r="T247" i="18"/>
  <c r="S247" i="18"/>
  <c r="N247" i="18"/>
  <c r="M247" i="18"/>
  <c r="L247" i="18"/>
  <c r="K247" i="18"/>
  <c r="F247" i="18"/>
  <c r="E247" i="18"/>
  <c r="D247" i="18"/>
  <c r="C247" i="18"/>
  <c r="V245" i="18"/>
  <c r="U245" i="18"/>
  <c r="T245" i="18"/>
  <c r="S245" i="18"/>
  <c r="N245" i="18"/>
  <c r="M245" i="18"/>
  <c r="L245" i="18"/>
  <c r="K245" i="18"/>
  <c r="F245" i="18"/>
  <c r="E245" i="18"/>
  <c r="D245" i="18"/>
  <c r="C245" i="18"/>
  <c r="Z244" i="18"/>
  <c r="V244" i="18"/>
  <c r="U244" i="18"/>
  <c r="T244" i="18"/>
  <c r="S244" i="18"/>
  <c r="O244" i="18"/>
  <c r="N244" i="18"/>
  <c r="M244" i="18"/>
  <c r="L244" i="18"/>
  <c r="K244" i="18"/>
  <c r="F244" i="18"/>
  <c r="E244" i="18"/>
  <c r="D244" i="18"/>
  <c r="C244" i="18"/>
  <c r="Z243" i="18"/>
  <c r="V243" i="18"/>
  <c r="U243" i="18"/>
  <c r="T243" i="18"/>
  <c r="S243" i="18"/>
  <c r="N243" i="18"/>
  <c r="M243" i="18"/>
  <c r="L243" i="18"/>
  <c r="K243" i="18"/>
  <c r="F243" i="18"/>
  <c r="E243" i="18"/>
  <c r="D243" i="18"/>
  <c r="C243" i="18"/>
  <c r="Z242" i="18"/>
  <c r="V242" i="18"/>
  <c r="U242" i="18"/>
  <c r="T242" i="18"/>
  <c r="S242" i="18"/>
  <c r="O242" i="18"/>
  <c r="N242" i="18"/>
  <c r="M242" i="18"/>
  <c r="L242" i="18"/>
  <c r="K242" i="18"/>
  <c r="F242" i="18"/>
  <c r="E242" i="18"/>
  <c r="D242" i="18"/>
  <c r="C242" i="18"/>
  <c r="Z241" i="18"/>
  <c r="V241" i="18"/>
  <c r="U241" i="18"/>
  <c r="T241" i="18"/>
  <c r="S241" i="18"/>
  <c r="N241" i="18"/>
  <c r="M241" i="18"/>
  <c r="L241" i="18"/>
  <c r="K241" i="18"/>
  <c r="F241" i="18"/>
  <c r="E241" i="18"/>
  <c r="D241" i="18"/>
  <c r="C241" i="18"/>
  <c r="Z240" i="18"/>
  <c r="V240" i="18"/>
  <c r="U240" i="18"/>
  <c r="T240" i="18"/>
  <c r="S240" i="18"/>
  <c r="N240" i="18"/>
  <c r="M240" i="18"/>
  <c r="L240" i="18"/>
  <c r="K240" i="18"/>
  <c r="F240" i="18"/>
  <c r="E240" i="18"/>
  <c r="D240" i="18"/>
  <c r="C240" i="18"/>
  <c r="Z239" i="18"/>
  <c r="V239" i="18"/>
  <c r="U239" i="18"/>
  <c r="T239" i="18"/>
  <c r="S239" i="18"/>
  <c r="N239" i="18"/>
  <c r="M239" i="18"/>
  <c r="L239" i="18"/>
  <c r="K239" i="18"/>
  <c r="F239" i="18"/>
  <c r="E239" i="18"/>
  <c r="D239" i="18"/>
  <c r="C239" i="18"/>
  <c r="Z238" i="18"/>
  <c r="V238" i="18"/>
  <c r="U238" i="18"/>
  <c r="T238" i="18"/>
  <c r="S238" i="18"/>
  <c r="N238" i="18"/>
  <c r="M238" i="18"/>
  <c r="L238" i="18"/>
  <c r="K238" i="18"/>
  <c r="F238" i="18"/>
  <c r="E238" i="18"/>
  <c r="D238" i="18"/>
  <c r="C238" i="18"/>
  <c r="Z237" i="18"/>
  <c r="V237" i="18"/>
  <c r="U237" i="18"/>
  <c r="T237" i="18"/>
  <c r="S237" i="18"/>
  <c r="N237" i="18"/>
  <c r="M237" i="18"/>
  <c r="L237" i="18"/>
  <c r="K237" i="18"/>
  <c r="F237" i="18"/>
  <c r="E237" i="18"/>
  <c r="D237" i="18"/>
  <c r="C237" i="18"/>
  <c r="Z236" i="18"/>
  <c r="V236" i="18"/>
  <c r="U236" i="18"/>
  <c r="T236" i="18"/>
  <c r="S236" i="18"/>
  <c r="O236" i="18"/>
  <c r="N236" i="18"/>
  <c r="M236" i="18"/>
  <c r="L236" i="18"/>
  <c r="K236" i="18"/>
  <c r="F236" i="18"/>
  <c r="E236" i="18"/>
  <c r="D236" i="18"/>
  <c r="C236" i="18"/>
  <c r="Z235" i="18"/>
  <c r="V235" i="18"/>
  <c r="U235" i="18"/>
  <c r="T235" i="18"/>
  <c r="S235" i="18"/>
  <c r="N235" i="18"/>
  <c r="M235" i="18"/>
  <c r="L235" i="18"/>
  <c r="K235" i="18"/>
  <c r="F235" i="18"/>
  <c r="E235" i="18"/>
  <c r="D235" i="18"/>
  <c r="C235" i="18"/>
  <c r="Z234" i="18"/>
  <c r="V234" i="18"/>
  <c r="U234" i="18"/>
  <c r="T234" i="18"/>
  <c r="S234" i="18"/>
  <c r="O234" i="18"/>
  <c r="N234" i="18"/>
  <c r="M234" i="18"/>
  <c r="L234" i="18"/>
  <c r="K234" i="18"/>
  <c r="F234" i="18"/>
  <c r="E234" i="18"/>
  <c r="D234" i="18"/>
  <c r="C234" i="18"/>
  <c r="Z233" i="18"/>
  <c r="V233" i="18"/>
  <c r="U233" i="18"/>
  <c r="T233" i="18"/>
  <c r="S233" i="18"/>
  <c r="N233" i="18"/>
  <c r="M233" i="18"/>
  <c r="L233" i="18"/>
  <c r="K233" i="18"/>
  <c r="F233" i="18"/>
  <c r="E233" i="18"/>
  <c r="D233" i="18"/>
  <c r="C233" i="18"/>
  <c r="Z232" i="18"/>
  <c r="V232" i="18"/>
  <c r="U232" i="18"/>
  <c r="T232" i="18"/>
  <c r="S232" i="18"/>
  <c r="N232" i="18"/>
  <c r="M232" i="18"/>
  <c r="L232" i="18"/>
  <c r="K232" i="18"/>
  <c r="F232" i="18"/>
  <c r="E232" i="18"/>
  <c r="D232" i="18"/>
  <c r="C232" i="18"/>
  <c r="Z231" i="18"/>
  <c r="V231" i="18"/>
  <c r="U231" i="18"/>
  <c r="T231" i="18"/>
  <c r="S231" i="18"/>
  <c r="N231" i="18"/>
  <c r="M231" i="18"/>
  <c r="L231" i="18"/>
  <c r="K231" i="18"/>
  <c r="F231" i="18"/>
  <c r="E231" i="18"/>
  <c r="D231" i="18"/>
  <c r="C231" i="18"/>
  <c r="Z230" i="18"/>
  <c r="V230" i="18"/>
  <c r="U230" i="18"/>
  <c r="T230" i="18"/>
  <c r="S230" i="18"/>
  <c r="N230" i="18"/>
  <c r="M230" i="18"/>
  <c r="L230" i="18"/>
  <c r="K230" i="18"/>
  <c r="F230" i="18"/>
  <c r="E230" i="18"/>
  <c r="D230" i="18"/>
  <c r="C230" i="18"/>
  <c r="Z229" i="18"/>
  <c r="V229" i="18"/>
  <c r="U229" i="18"/>
  <c r="T229" i="18"/>
  <c r="S229" i="18"/>
  <c r="N229" i="18"/>
  <c r="M229" i="18"/>
  <c r="L229" i="18"/>
  <c r="K229" i="18"/>
  <c r="F229" i="18"/>
  <c r="E229" i="18"/>
  <c r="D229" i="18"/>
  <c r="C229" i="18"/>
  <c r="Z228" i="18"/>
  <c r="V228" i="18"/>
  <c r="U228" i="18"/>
  <c r="T228" i="18"/>
  <c r="S228" i="18"/>
  <c r="N228" i="18"/>
  <c r="M228" i="18"/>
  <c r="L228" i="18"/>
  <c r="K228" i="18"/>
  <c r="F228" i="18"/>
  <c r="E228" i="18"/>
  <c r="D228" i="18"/>
  <c r="C228" i="18"/>
  <c r="Z227" i="18"/>
  <c r="V227" i="18"/>
  <c r="U227" i="18"/>
  <c r="T227" i="18"/>
  <c r="S227" i="18"/>
  <c r="N227" i="18"/>
  <c r="M227" i="18"/>
  <c r="L227" i="18"/>
  <c r="K227" i="18"/>
  <c r="F227" i="18"/>
  <c r="E227" i="18"/>
  <c r="D227" i="18"/>
  <c r="C227" i="18"/>
  <c r="Z226" i="18"/>
  <c r="V226" i="18"/>
  <c r="U226" i="18"/>
  <c r="T226" i="18"/>
  <c r="S226" i="18"/>
  <c r="N226" i="18"/>
  <c r="M226" i="18"/>
  <c r="L226" i="18"/>
  <c r="K226" i="18"/>
  <c r="F226" i="18"/>
  <c r="E226" i="18"/>
  <c r="D226" i="18"/>
  <c r="C226" i="18"/>
  <c r="Z225" i="18"/>
  <c r="U220" i="18"/>
  <c r="W371" i="18" s="1"/>
  <c r="N220" i="18"/>
  <c r="O371" i="18" s="1"/>
  <c r="G220" i="18"/>
  <c r="G371" i="18" s="1"/>
  <c r="U219" i="18"/>
  <c r="W350" i="18" s="1"/>
  <c r="N219" i="18"/>
  <c r="O350" i="18" s="1"/>
  <c r="G219" i="18"/>
  <c r="G350" i="18" s="1"/>
  <c r="U218" i="18"/>
  <c r="W329" i="18" s="1"/>
  <c r="N218" i="18"/>
  <c r="O329" i="18" s="1"/>
  <c r="G218" i="18"/>
  <c r="G329" i="18" s="1"/>
  <c r="U217" i="18"/>
  <c r="W308" i="18" s="1"/>
  <c r="N217" i="18"/>
  <c r="G217" i="18"/>
  <c r="G308" i="18" s="1"/>
  <c r="U216" i="18"/>
  <c r="W287" i="18" s="1"/>
  <c r="N216" i="18"/>
  <c r="O287" i="18" s="1"/>
  <c r="G216" i="18"/>
  <c r="G287" i="18" s="1"/>
  <c r="U215" i="18"/>
  <c r="W266" i="18" s="1"/>
  <c r="N215" i="18"/>
  <c r="O266" i="18" s="1"/>
  <c r="G215" i="18"/>
  <c r="G266" i="18" s="1"/>
  <c r="U214" i="18"/>
  <c r="W245" i="18" s="1"/>
  <c r="N214" i="18"/>
  <c r="O245" i="18" s="1"/>
  <c r="G214" i="18"/>
  <c r="G245" i="18" s="1"/>
  <c r="T213" i="18"/>
  <c r="R213" i="18"/>
  <c r="M213" i="18"/>
  <c r="L213" i="18"/>
  <c r="S213" i="18" s="1"/>
  <c r="K213" i="18"/>
  <c r="P211" i="18"/>
  <c r="I211" i="18"/>
  <c r="U209" i="18"/>
  <c r="W370" i="18" s="1"/>
  <c r="N209" i="18"/>
  <c r="O370" i="18" s="1"/>
  <c r="G209" i="18"/>
  <c r="G370" i="18" s="1"/>
  <c r="U208" i="18"/>
  <c r="W349" i="18" s="1"/>
  <c r="N208" i="18"/>
  <c r="O349" i="18" s="1"/>
  <c r="G208" i="18"/>
  <c r="G349" i="18" s="1"/>
  <c r="U207" i="18"/>
  <c r="W328" i="18" s="1"/>
  <c r="N207" i="18"/>
  <c r="O328" i="18" s="1"/>
  <c r="G207" i="18"/>
  <c r="G328" i="18" s="1"/>
  <c r="U206" i="18"/>
  <c r="W307" i="18" s="1"/>
  <c r="N206" i="18"/>
  <c r="O307" i="18" s="1"/>
  <c r="G206" i="18"/>
  <c r="G307" i="18" s="1"/>
  <c r="U205" i="18"/>
  <c r="W286" i="18" s="1"/>
  <c r="N205" i="18"/>
  <c r="O286" i="18" s="1"/>
  <c r="G205" i="18"/>
  <c r="U204" i="18"/>
  <c r="W265" i="18" s="1"/>
  <c r="N204" i="18"/>
  <c r="O265" i="18" s="1"/>
  <c r="G204" i="18"/>
  <c r="G265" i="18" s="1"/>
  <c r="U203" i="18"/>
  <c r="W244" i="18" s="1"/>
  <c r="N203" i="18"/>
  <c r="G203" i="18"/>
  <c r="G244" i="18" s="1"/>
  <c r="S202" i="18"/>
  <c r="M202" i="18"/>
  <c r="T202" i="18" s="1"/>
  <c r="L202" i="18"/>
  <c r="K202" i="18"/>
  <c r="R202" i="18" s="1"/>
  <c r="I200" i="18"/>
  <c r="P200" i="18" s="1"/>
  <c r="U198" i="18"/>
  <c r="W369" i="18" s="1"/>
  <c r="N198" i="18"/>
  <c r="O369" i="18" s="1"/>
  <c r="G198" i="18"/>
  <c r="G369" i="18" s="1"/>
  <c r="U197" i="18"/>
  <c r="W348" i="18" s="1"/>
  <c r="N197" i="18"/>
  <c r="O348" i="18" s="1"/>
  <c r="G197" i="18"/>
  <c r="G348" i="18" s="1"/>
  <c r="U196" i="18"/>
  <c r="W327" i="18" s="1"/>
  <c r="N196" i="18"/>
  <c r="O327" i="18" s="1"/>
  <c r="G196" i="18"/>
  <c r="G327" i="18" s="1"/>
  <c r="U195" i="18"/>
  <c r="W306" i="18" s="1"/>
  <c r="N195" i="18"/>
  <c r="O306" i="18" s="1"/>
  <c r="G195" i="18"/>
  <c r="G306" i="18" s="1"/>
  <c r="U194" i="18"/>
  <c r="W285" i="18" s="1"/>
  <c r="N194" i="18"/>
  <c r="O285" i="18" s="1"/>
  <c r="G194" i="18"/>
  <c r="U193" i="18"/>
  <c r="W264" i="18" s="1"/>
  <c r="N193" i="18"/>
  <c r="O264" i="18" s="1"/>
  <c r="G193" i="18"/>
  <c r="G264" i="18" s="1"/>
  <c r="U192" i="18"/>
  <c r="W243" i="18" s="1"/>
  <c r="N192" i="18"/>
  <c r="O243" i="18" s="1"/>
  <c r="G192" i="18"/>
  <c r="G243" i="18" s="1"/>
  <c r="T191" i="18"/>
  <c r="R191" i="18"/>
  <c r="M191" i="18"/>
  <c r="L191" i="18"/>
  <c r="S191" i="18" s="1"/>
  <c r="K191" i="18"/>
  <c r="P189" i="18"/>
  <c r="I189" i="18"/>
  <c r="U187" i="18"/>
  <c r="W368" i="18" s="1"/>
  <c r="N187" i="18"/>
  <c r="O368" i="18" s="1"/>
  <c r="G187" i="18"/>
  <c r="G368" i="18" s="1"/>
  <c r="U186" i="18"/>
  <c r="W347" i="18" s="1"/>
  <c r="N186" i="18"/>
  <c r="O347" i="18" s="1"/>
  <c r="G186" i="18"/>
  <c r="G347" i="18" s="1"/>
  <c r="U185" i="18"/>
  <c r="W326" i="18" s="1"/>
  <c r="N185" i="18"/>
  <c r="O326" i="18" s="1"/>
  <c r="G185" i="18"/>
  <c r="G326" i="18" s="1"/>
  <c r="U184" i="18"/>
  <c r="N184" i="18"/>
  <c r="O305" i="18" s="1"/>
  <c r="G184" i="18"/>
  <c r="G305" i="18" s="1"/>
  <c r="U183" i="18"/>
  <c r="W284" i="18" s="1"/>
  <c r="N183" i="18"/>
  <c r="O284" i="18" s="1"/>
  <c r="G183" i="18"/>
  <c r="G284" i="18" s="1"/>
  <c r="U182" i="18"/>
  <c r="W263" i="18" s="1"/>
  <c r="N182" i="18"/>
  <c r="O263" i="18" s="1"/>
  <c r="G182" i="18"/>
  <c r="G263" i="18" s="1"/>
  <c r="U181" i="18"/>
  <c r="W242" i="18" s="1"/>
  <c r="N181" i="18"/>
  <c r="G181" i="18"/>
  <c r="G242" i="18" s="1"/>
  <c r="S180" i="18"/>
  <c r="M180" i="18"/>
  <c r="T180" i="18" s="1"/>
  <c r="L180" i="18"/>
  <c r="K180" i="18"/>
  <c r="R180" i="18" s="1"/>
  <c r="I178" i="18"/>
  <c r="P178" i="18" s="1"/>
  <c r="U176" i="18"/>
  <c r="W367" i="18" s="1"/>
  <c r="N176" i="18"/>
  <c r="O367" i="18" s="1"/>
  <c r="G176" i="18"/>
  <c r="G367" i="18" s="1"/>
  <c r="U175" i="18"/>
  <c r="W346" i="18" s="1"/>
  <c r="N175" i="18"/>
  <c r="O346" i="18" s="1"/>
  <c r="G175" i="18"/>
  <c r="G346" i="18" s="1"/>
  <c r="U174" i="18"/>
  <c r="W325" i="18" s="1"/>
  <c r="N174" i="18"/>
  <c r="O325" i="18" s="1"/>
  <c r="G174" i="18"/>
  <c r="G325" i="18" s="1"/>
  <c r="U173" i="18"/>
  <c r="W304" i="18" s="1"/>
  <c r="N173" i="18"/>
  <c r="O304" i="18" s="1"/>
  <c r="G173" i="18"/>
  <c r="G304" i="18" s="1"/>
  <c r="U172" i="18"/>
  <c r="W283" i="18" s="1"/>
  <c r="N172" i="18"/>
  <c r="O283" i="18" s="1"/>
  <c r="G172" i="18"/>
  <c r="G283" i="18" s="1"/>
  <c r="U171" i="18"/>
  <c r="W262" i="18" s="1"/>
  <c r="N171" i="18"/>
  <c r="O262" i="18" s="1"/>
  <c r="G171" i="18"/>
  <c r="G262" i="18" s="1"/>
  <c r="U170" i="18"/>
  <c r="W241" i="18" s="1"/>
  <c r="N170" i="18"/>
  <c r="O241" i="18" s="1"/>
  <c r="G170" i="18"/>
  <c r="G241" i="18" s="1"/>
  <c r="T169" i="18"/>
  <c r="R169" i="18"/>
  <c r="M169" i="18"/>
  <c r="L169" i="18"/>
  <c r="S169" i="18" s="1"/>
  <c r="K169" i="18"/>
  <c r="P167" i="18"/>
  <c r="I167" i="18"/>
  <c r="U165" i="18"/>
  <c r="W366" i="18" s="1"/>
  <c r="N165" i="18"/>
  <c r="O366" i="18" s="1"/>
  <c r="G165" i="18"/>
  <c r="G366" i="18" s="1"/>
  <c r="U164" i="18"/>
  <c r="W345" i="18" s="1"/>
  <c r="N164" i="18"/>
  <c r="O345" i="18" s="1"/>
  <c r="G164" i="18"/>
  <c r="G345" i="18" s="1"/>
  <c r="U163" i="18"/>
  <c r="W324" i="18" s="1"/>
  <c r="N163" i="18"/>
  <c r="O324" i="18" s="1"/>
  <c r="G163" i="18"/>
  <c r="G324" i="18" s="1"/>
  <c r="U162" i="18"/>
  <c r="W303" i="18" s="1"/>
  <c r="N162" i="18"/>
  <c r="O303" i="18" s="1"/>
  <c r="G162" i="18"/>
  <c r="G303" i="18" s="1"/>
  <c r="U161" i="18"/>
  <c r="W282" i="18" s="1"/>
  <c r="N161" i="18"/>
  <c r="O282" i="18" s="1"/>
  <c r="G161" i="18"/>
  <c r="G282" i="18" s="1"/>
  <c r="U160" i="18"/>
  <c r="W261" i="18" s="1"/>
  <c r="N160" i="18"/>
  <c r="O261" i="18" s="1"/>
  <c r="G160" i="18"/>
  <c r="G261" i="18" s="1"/>
  <c r="U159" i="18"/>
  <c r="W240" i="18" s="1"/>
  <c r="N159" i="18"/>
  <c r="O240" i="18" s="1"/>
  <c r="G159" i="18"/>
  <c r="G240" i="18" s="1"/>
  <c r="S158" i="18"/>
  <c r="M158" i="18"/>
  <c r="T158" i="18" s="1"/>
  <c r="L158" i="18"/>
  <c r="K158" i="18"/>
  <c r="R158" i="18" s="1"/>
  <c r="I156" i="18"/>
  <c r="P156" i="18" s="1"/>
  <c r="U154" i="18"/>
  <c r="W365" i="18" s="1"/>
  <c r="N154" i="18"/>
  <c r="O365" i="18" s="1"/>
  <c r="G154" i="18"/>
  <c r="G365" i="18" s="1"/>
  <c r="U153" i="18"/>
  <c r="W344" i="18" s="1"/>
  <c r="N153" i="18"/>
  <c r="O344" i="18" s="1"/>
  <c r="G153" i="18"/>
  <c r="G344" i="18" s="1"/>
  <c r="U152" i="18"/>
  <c r="W323" i="18" s="1"/>
  <c r="N152" i="18"/>
  <c r="O323" i="18" s="1"/>
  <c r="G152" i="18"/>
  <c r="G323" i="18" s="1"/>
  <c r="U151" i="18"/>
  <c r="W302" i="18" s="1"/>
  <c r="N151" i="18"/>
  <c r="G151" i="18"/>
  <c r="U150" i="18"/>
  <c r="W281" i="18" s="1"/>
  <c r="N150" i="18"/>
  <c r="G150" i="18"/>
  <c r="G281" i="18" s="1"/>
  <c r="U149" i="18"/>
  <c r="W260" i="18" s="1"/>
  <c r="N149" i="18"/>
  <c r="O260" i="18" s="1"/>
  <c r="G149" i="18"/>
  <c r="G260" i="18" s="1"/>
  <c r="U148" i="18"/>
  <c r="W239" i="18" s="1"/>
  <c r="N148" i="18"/>
  <c r="O239" i="18" s="1"/>
  <c r="G148" i="18"/>
  <c r="G239" i="18" s="1"/>
  <c r="T147" i="18"/>
  <c r="R147" i="18"/>
  <c r="M147" i="18"/>
  <c r="L147" i="18"/>
  <c r="S147" i="18" s="1"/>
  <c r="K147" i="18"/>
  <c r="P145" i="18"/>
  <c r="I145" i="18"/>
  <c r="U143" i="18"/>
  <c r="W364" i="18" s="1"/>
  <c r="N143" i="18"/>
  <c r="O364" i="18" s="1"/>
  <c r="G143" i="18"/>
  <c r="G364" i="18" s="1"/>
  <c r="U142" i="18"/>
  <c r="W343" i="18" s="1"/>
  <c r="N142" i="18"/>
  <c r="O343" i="18" s="1"/>
  <c r="G142" i="18"/>
  <c r="G343" i="18" s="1"/>
  <c r="U141" i="18"/>
  <c r="W322" i="18" s="1"/>
  <c r="N141" i="18"/>
  <c r="O322" i="18" s="1"/>
  <c r="G141" i="18"/>
  <c r="G322" i="18" s="1"/>
  <c r="U140" i="18"/>
  <c r="W301" i="18" s="1"/>
  <c r="N140" i="18"/>
  <c r="O301" i="18" s="1"/>
  <c r="G140" i="18"/>
  <c r="U139" i="18"/>
  <c r="W280" i="18" s="1"/>
  <c r="N139" i="18"/>
  <c r="O280" i="18" s="1"/>
  <c r="G139" i="18"/>
  <c r="G280" i="18" s="1"/>
  <c r="U138" i="18"/>
  <c r="W259" i="18" s="1"/>
  <c r="N138" i="18"/>
  <c r="O259" i="18" s="1"/>
  <c r="G138" i="18"/>
  <c r="G259" i="18" s="1"/>
  <c r="U137" i="18"/>
  <c r="W238" i="18" s="1"/>
  <c r="N137" i="18"/>
  <c r="O238" i="18" s="1"/>
  <c r="G137" i="18"/>
  <c r="G238" i="18" s="1"/>
  <c r="S136" i="18"/>
  <c r="M136" i="18"/>
  <c r="T136" i="18" s="1"/>
  <c r="L136" i="18"/>
  <c r="K136" i="18"/>
  <c r="R136" i="18" s="1"/>
  <c r="I134" i="18"/>
  <c r="P134" i="18" s="1"/>
  <c r="U132" i="18"/>
  <c r="W363" i="18" s="1"/>
  <c r="N132" i="18"/>
  <c r="O363" i="18" s="1"/>
  <c r="G132" i="18"/>
  <c r="G363" i="18" s="1"/>
  <c r="U131" i="18"/>
  <c r="W342" i="18" s="1"/>
  <c r="N131" i="18"/>
  <c r="O342" i="18" s="1"/>
  <c r="G131" i="18"/>
  <c r="G342" i="18" s="1"/>
  <c r="U130" i="18"/>
  <c r="W321" i="18" s="1"/>
  <c r="N130" i="18"/>
  <c r="O321" i="18" s="1"/>
  <c r="G130" i="18"/>
  <c r="G321" i="18" s="1"/>
  <c r="U129" i="18"/>
  <c r="W300" i="18" s="1"/>
  <c r="N129" i="18"/>
  <c r="O300" i="18" s="1"/>
  <c r="G129" i="18"/>
  <c r="G300" i="18" s="1"/>
  <c r="U128" i="18"/>
  <c r="W279" i="18" s="1"/>
  <c r="N128" i="18"/>
  <c r="O279" i="18" s="1"/>
  <c r="G128" i="18"/>
  <c r="G279" i="18" s="1"/>
  <c r="U127" i="18"/>
  <c r="W258" i="18" s="1"/>
  <c r="N127" i="18"/>
  <c r="O258" i="18" s="1"/>
  <c r="G127" i="18"/>
  <c r="G258" i="18" s="1"/>
  <c r="U126" i="18"/>
  <c r="W237" i="18" s="1"/>
  <c r="N126" i="18"/>
  <c r="O237" i="18" s="1"/>
  <c r="G126" i="18"/>
  <c r="G237" i="18" s="1"/>
  <c r="T125" i="18"/>
  <c r="R125" i="18"/>
  <c r="M125" i="18"/>
  <c r="L125" i="18"/>
  <c r="S125" i="18" s="1"/>
  <c r="K125" i="18"/>
  <c r="P123" i="18"/>
  <c r="I123" i="18"/>
  <c r="U121" i="18"/>
  <c r="W362" i="18" s="1"/>
  <c r="N121" i="18"/>
  <c r="O362" i="18" s="1"/>
  <c r="G121" i="18"/>
  <c r="G362" i="18" s="1"/>
  <c r="U120" i="18"/>
  <c r="W341" i="18" s="1"/>
  <c r="N120" i="18"/>
  <c r="O341" i="18" s="1"/>
  <c r="G120" i="18"/>
  <c r="G341" i="18" s="1"/>
  <c r="U119" i="18"/>
  <c r="W320" i="18" s="1"/>
  <c r="N119" i="18"/>
  <c r="O320" i="18" s="1"/>
  <c r="G119" i="18"/>
  <c r="G320" i="18" s="1"/>
  <c r="U118" i="18"/>
  <c r="W299" i="18" s="1"/>
  <c r="N118" i="18"/>
  <c r="O299" i="18" s="1"/>
  <c r="G118" i="18"/>
  <c r="G299" i="18" s="1"/>
  <c r="U117" i="18"/>
  <c r="W278" i="18" s="1"/>
  <c r="N117" i="18"/>
  <c r="O278" i="18" s="1"/>
  <c r="G117" i="18"/>
  <c r="G278" i="18" s="1"/>
  <c r="U116" i="18"/>
  <c r="W257" i="18" s="1"/>
  <c r="N116" i="18"/>
  <c r="O257" i="18" s="1"/>
  <c r="G116" i="18"/>
  <c r="G257" i="18" s="1"/>
  <c r="U115" i="18"/>
  <c r="W236" i="18" s="1"/>
  <c r="N115" i="18"/>
  <c r="G115" i="18"/>
  <c r="G236" i="18" s="1"/>
  <c r="S114" i="18"/>
  <c r="M114" i="18"/>
  <c r="T114" i="18" s="1"/>
  <c r="L114" i="18"/>
  <c r="K114" i="18"/>
  <c r="R114" i="18" s="1"/>
  <c r="I112" i="18"/>
  <c r="P112" i="18" s="1"/>
  <c r="U110" i="18"/>
  <c r="W361" i="18" s="1"/>
  <c r="N110" i="18"/>
  <c r="O361" i="18" s="1"/>
  <c r="G110" i="18"/>
  <c r="G361" i="18" s="1"/>
  <c r="U109" i="18"/>
  <c r="W340" i="18" s="1"/>
  <c r="N109" i="18"/>
  <c r="O340" i="18" s="1"/>
  <c r="G109" i="18"/>
  <c r="G340" i="18" s="1"/>
  <c r="U108" i="18"/>
  <c r="W319" i="18" s="1"/>
  <c r="N108" i="18"/>
  <c r="O319" i="18" s="1"/>
  <c r="G108" i="18"/>
  <c r="G319" i="18" s="1"/>
  <c r="U107" i="18"/>
  <c r="W298" i="18" s="1"/>
  <c r="N107" i="18"/>
  <c r="O298" i="18" s="1"/>
  <c r="G107" i="18"/>
  <c r="G298" i="18" s="1"/>
  <c r="U106" i="18"/>
  <c r="W277" i="18" s="1"/>
  <c r="N106" i="18"/>
  <c r="O277" i="18" s="1"/>
  <c r="G106" i="18"/>
  <c r="G277" i="18" s="1"/>
  <c r="U105" i="18"/>
  <c r="W256" i="18" s="1"/>
  <c r="N105" i="18"/>
  <c r="O256" i="18" s="1"/>
  <c r="G105" i="18"/>
  <c r="G256" i="18" s="1"/>
  <c r="U104" i="18"/>
  <c r="W235" i="18" s="1"/>
  <c r="N104" i="18"/>
  <c r="O235" i="18" s="1"/>
  <c r="G104" i="18"/>
  <c r="G235" i="18" s="1"/>
  <c r="T103" i="18"/>
  <c r="M103" i="18"/>
  <c r="L103" i="18"/>
  <c r="S103" i="18" s="1"/>
  <c r="K103" i="18"/>
  <c r="R103" i="18" s="1"/>
  <c r="P101" i="18"/>
  <c r="I101" i="18"/>
  <c r="U99" i="18"/>
  <c r="W360" i="18" s="1"/>
  <c r="N99" i="18"/>
  <c r="O360" i="18" s="1"/>
  <c r="G99" i="18"/>
  <c r="G360" i="18" s="1"/>
  <c r="U98" i="18"/>
  <c r="W339" i="18" s="1"/>
  <c r="N98" i="18"/>
  <c r="O339" i="18" s="1"/>
  <c r="G98" i="18"/>
  <c r="G339" i="18" s="1"/>
  <c r="U97" i="18"/>
  <c r="W318" i="18" s="1"/>
  <c r="N97" i="18"/>
  <c r="O318" i="18" s="1"/>
  <c r="G97" i="18"/>
  <c r="G318" i="18" s="1"/>
  <c r="U96" i="18"/>
  <c r="W297" i="18" s="1"/>
  <c r="N96" i="18"/>
  <c r="O297" i="18" s="1"/>
  <c r="G96" i="18"/>
  <c r="G297" i="18" s="1"/>
  <c r="U95" i="18"/>
  <c r="W276" i="18" s="1"/>
  <c r="N95" i="18"/>
  <c r="O276" i="18" s="1"/>
  <c r="G95" i="18"/>
  <c r="G276" i="18" s="1"/>
  <c r="U94" i="18"/>
  <c r="W255" i="18" s="1"/>
  <c r="N94" i="18"/>
  <c r="O255" i="18" s="1"/>
  <c r="G94" i="18"/>
  <c r="G255" i="18" s="1"/>
  <c r="U93" i="18"/>
  <c r="W234" i="18" s="1"/>
  <c r="N93" i="18"/>
  <c r="G93" i="18"/>
  <c r="G234" i="18" s="1"/>
  <c r="S92" i="18"/>
  <c r="M92" i="18"/>
  <c r="T92" i="18" s="1"/>
  <c r="L92" i="18"/>
  <c r="K92" i="18"/>
  <c r="R92" i="18" s="1"/>
  <c r="I90" i="18"/>
  <c r="P90" i="18" s="1"/>
  <c r="U88" i="18"/>
  <c r="W359" i="18" s="1"/>
  <c r="N88" i="18"/>
  <c r="O359" i="18" s="1"/>
  <c r="G88" i="18"/>
  <c r="G359" i="18" s="1"/>
  <c r="U87" i="18"/>
  <c r="W338" i="18" s="1"/>
  <c r="N87" i="18"/>
  <c r="O338" i="18" s="1"/>
  <c r="G87" i="18"/>
  <c r="G338" i="18" s="1"/>
  <c r="U86" i="18"/>
  <c r="W317" i="18" s="1"/>
  <c r="N86" i="18"/>
  <c r="O317" i="18" s="1"/>
  <c r="G86" i="18"/>
  <c r="G317" i="18" s="1"/>
  <c r="U85" i="18"/>
  <c r="W296" i="18" s="1"/>
  <c r="N85" i="18"/>
  <c r="O296" i="18" s="1"/>
  <c r="G85" i="18"/>
  <c r="G296" i="18" s="1"/>
  <c r="U84" i="18"/>
  <c r="W275" i="18" s="1"/>
  <c r="N84" i="18"/>
  <c r="O275" i="18" s="1"/>
  <c r="G84" i="18"/>
  <c r="G275" i="18" s="1"/>
  <c r="U83" i="18"/>
  <c r="W254" i="18" s="1"/>
  <c r="N83" i="18"/>
  <c r="O254" i="18" s="1"/>
  <c r="G83" i="18"/>
  <c r="G254" i="18" s="1"/>
  <c r="U82" i="18"/>
  <c r="W233" i="18" s="1"/>
  <c r="N82" i="18"/>
  <c r="O233" i="18" s="1"/>
  <c r="G82" i="18"/>
  <c r="G233" i="18" s="1"/>
  <c r="R81" i="18"/>
  <c r="M81" i="18"/>
  <c r="T81" i="18" s="1"/>
  <c r="L81" i="18"/>
  <c r="S81" i="18" s="1"/>
  <c r="K81" i="18"/>
  <c r="P79" i="18"/>
  <c r="I79" i="18"/>
  <c r="U77" i="18"/>
  <c r="W358" i="18" s="1"/>
  <c r="N77" i="18"/>
  <c r="O358" i="18" s="1"/>
  <c r="G77" i="18"/>
  <c r="G358" i="18" s="1"/>
  <c r="U76" i="18"/>
  <c r="W337" i="18" s="1"/>
  <c r="N76" i="18"/>
  <c r="O337" i="18" s="1"/>
  <c r="G76" i="18"/>
  <c r="G337" i="18" s="1"/>
  <c r="U75" i="18"/>
  <c r="W316" i="18" s="1"/>
  <c r="N75" i="18"/>
  <c r="O316" i="18" s="1"/>
  <c r="G75" i="18"/>
  <c r="G316" i="18" s="1"/>
  <c r="U74" i="18"/>
  <c r="W295" i="18" s="1"/>
  <c r="N74" i="18"/>
  <c r="O295" i="18" s="1"/>
  <c r="G74" i="18"/>
  <c r="G295" i="18" s="1"/>
  <c r="U73" i="18"/>
  <c r="W274" i="18" s="1"/>
  <c r="N73" i="18"/>
  <c r="O274" i="18" s="1"/>
  <c r="G73" i="18"/>
  <c r="G274" i="18" s="1"/>
  <c r="U72" i="18"/>
  <c r="W253" i="18" s="1"/>
  <c r="N72" i="18"/>
  <c r="O253" i="18" s="1"/>
  <c r="G72" i="18"/>
  <c r="G253" i="18" s="1"/>
  <c r="U71" i="18"/>
  <c r="W232" i="18" s="1"/>
  <c r="N71" i="18"/>
  <c r="O232" i="18" s="1"/>
  <c r="G71" i="18"/>
  <c r="G232" i="18" s="1"/>
  <c r="S70" i="18"/>
  <c r="M70" i="18"/>
  <c r="T70" i="18" s="1"/>
  <c r="L70" i="18"/>
  <c r="K70" i="18"/>
  <c r="R70" i="18" s="1"/>
  <c r="I68" i="18"/>
  <c r="P68" i="18" s="1"/>
  <c r="U66" i="18"/>
  <c r="W357" i="18" s="1"/>
  <c r="N66" i="18"/>
  <c r="O357" i="18" s="1"/>
  <c r="G66" i="18"/>
  <c r="G357" i="18" s="1"/>
  <c r="U65" i="18"/>
  <c r="W336" i="18" s="1"/>
  <c r="N65" i="18"/>
  <c r="O336" i="18" s="1"/>
  <c r="G65" i="18"/>
  <c r="G336" i="18" s="1"/>
  <c r="U64" i="18"/>
  <c r="W315" i="18" s="1"/>
  <c r="N64" i="18"/>
  <c r="O315" i="18" s="1"/>
  <c r="G64" i="18"/>
  <c r="G315" i="18" s="1"/>
  <c r="U63" i="18"/>
  <c r="W294" i="18" s="1"/>
  <c r="N63" i="18"/>
  <c r="O294" i="18" s="1"/>
  <c r="G63" i="18"/>
  <c r="G294" i="18" s="1"/>
  <c r="U62" i="18"/>
  <c r="W273" i="18" s="1"/>
  <c r="N62" i="18"/>
  <c r="O273" i="18" s="1"/>
  <c r="G62" i="18"/>
  <c r="G273" i="18" s="1"/>
  <c r="U61" i="18"/>
  <c r="W252" i="18" s="1"/>
  <c r="N61" i="18"/>
  <c r="O252" i="18" s="1"/>
  <c r="G61" i="18"/>
  <c r="G252" i="18" s="1"/>
  <c r="U60" i="18"/>
  <c r="W231" i="18" s="1"/>
  <c r="N60" i="18"/>
  <c r="O231" i="18" s="1"/>
  <c r="G60" i="18"/>
  <c r="G231" i="18" s="1"/>
  <c r="T59" i="18"/>
  <c r="R59" i="18"/>
  <c r="M59" i="18"/>
  <c r="L59" i="18"/>
  <c r="S59" i="18" s="1"/>
  <c r="K59" i="18"/>
  <c r="P57" i="18"/>
  <c r="I57" i="18"/>
  <c r="U55" i="18"/>
  <c r="W356" i="18" s="1"/>
  <c r="N55" i="18"/>
  <c r="O356" i="18" s="1"/>
  <c r="G55" i="18"/>
  <c r="G356" i="18" s="1"/>
  <c r="U54" i="18"/>
  <c r="W335" i="18" s="1"/>
  <c r="N54" i="18"/>
  <c r="O335" i="18" s="1"/>
  <c r="G54" i="18"/>
  <c r="G335" i="18" s="1"/>
  <c r="U53" i="18"/>
  <c r="W314" i="18" s="1"/>
  <c r="N53" i="18"/>
  <c r="O314" i="18" s="1"/>
  <c r="G53" i="18"/>
  <c r="G314" i="18" s="1"/>
  <c r="U52" i="18"/>
  <c r="W293" i="18" s="1"/>
  <c r="N52" i="18"/>
  <c r="O293" i="18" s="1"/>
  <c r="G52" i="18"/>
  <c r="G293" i="18" s="1"/>
  <c r="U51" i="18"/>
  <c r="W272" i="18" s="1"/>
  <c r="N51" i="18"/>
  <c r="O272" i="18" s="1"/>
  <c r="G51" i="18"/>
  <c r="G272" i="18" s="1"/>
  <c r="U50" i="18"/>
  <c r="W251" i="18" s="1"/>
  <c r="N50" i="18"/>
  <c r="O251" i="18" s="1"/>
  <c r="G50" i="18"/>
  <c r="G251" i="18" s="1"/>
  <c r="U49" i="18"/>
  <c r="W230" i="18" s="1"/>
  <c r="N49" i="18"/>
  <c r="O230" i="18" s="1"/>
  <c r="G49" i="18"/>
  <c r="G230" i="18" s="1"/>
  <c r="M48" i="18"/>
  <c r="T48" i="18" s="1"/>
  <c r="L48" i="18"/>
  <c r="S48" i="18" s="1"/>
  <c r="K48" i="18"/>
  <c r="R48" i="18" s="1"/>
  <c r="I46" i="18"/>
  <c r="P46" i="18" s="1"/>
  <c r="U44" i="18"/>
  <c r="W355" i="18" s="1"/>
  <c r="N44" i="18"/>
  <c r="O355" i="18" s="1"/>
  <c r="G44" i="18"/>
  <c r="G355" i="18" s="1"/>
  <c r="U43" i="18"/>
  <c r="W334" i="18" s="1"/>
  <c r="N43" i="18"/>
  <c r="O334" i="18" s="1"/>
  <c r="G43" i="18"/>
  <c r="G334" i="18" s="1"/>
  <c r="U42" i="18"/>
  <c r="W313" i="18" s="1"/>
  <c r="N42" i="18"/>
  <c r="O313" i="18" s="1"/>
  <c r="G42" i="18"/>
  <c r="G313" i="18" s="1"/>
  <c r="U41" i="18"/>
  <c r="W292" i="18" s="1"/>
  <c r="N41" i="18"/>
  <c r="O292" i="18" s="1"/>
  <c r="G41" i="18"/>
  <c r="G292" i="18" s="1"/>
  <c r="U40" i="18"/>
  <c r="W271" i="18" s="1"/>
  <c r="N40" i="18"/>
  <c r="O271" i="18" s="1"/>
  <c r="G40" i="18"/>
  <c r="G271" i="18" s="1"/>
  <c r="U39" i="18"/>
  <c r="W250" i="18" s="1"/>
  <c r="N39" i="18"/>
  <c r="O250" i="18" s="1"/>
  <c r="G39" i="18"/>
  <c r="G250" i="18" s="1"/>
  <c r="U38" i="18"/>
  <c r="W229" i="18" s="1"/>
  <c r="N38" i="18"/>
  <c r="O229" i="18" s="1"/>
  <c r="G38" i="18"/>
  <c r="G229" i="18" s="1"/>
  <c r="T37" i="18"/>
  <c r="R37" i="18"/>
  <c r="M37" i="18"/>
  <c r="L37" i="18"/>
  <c r="S37" i="18" s="1"/>
  <c r="K37" i="18"/>
  <c r="P35" i="18"/>
  <c r="I35" i="18"/>
  <c r="U33" i="18"/>
  <c r="W354" i="18" s="1"/>
  <c r="N33" i="18"/>
  <c r="O354" i="18" s="1"/>
  <c r="G33" i="18"/>
  <c r="G354" i="18" s="1"/>
  <c r="U32" i="18"/>
  <c r="W333" i="18" s="1"/>
  <c r="N32" i="18"/>
  <c r="O333" i="18" s="1"/>
  <c r="G32" i="18"/>
  <c r="G333" i="18" s="1"/>
  <c r="U31" i="18"/>
  <c r="W312" i="18" s="1"/>
  <c r="N31" i="18"/>
  <c r="O312" i="18" s="1"/>
  <c r="G31" i="18"/>
  <c r="G312" i="18" s="1"/>
  <c r="U30" i="18"/>
  <c r="W291" i="18" s="1"/>
  <c r="N30" i="18"/>
  <c r="O291" i="18" s="1"/>
  <c r="G30" i="18"/>
  <c r="G291" i="18" s="1"/>
  <c r="U29" i="18"/>
  <c r="W270" i="18" s="1"/>
  <c r="N29" i="18"/>
  <c r="O270" i="18" s="1"/>
  <c r="G29" i="18"/>
  <c r="G270" i="18" s="1"/>
  <c r="U28" i="18"/>
  <c r="W249" i="18" s="1"/>
  <c r="N28" i="18"/>
  <c r="O249" i="18" s="1"/>
  <c r="G28" i="18"/>
  <c r="G249" i="18" s="1"/>
  <c r="U27" i="18"/>
  <c r="W228" i="18" s="1"/>
  <c r="N27" i="18"/>
  <c r="O228" i="18" s="1"/>
  <c r="G27" i="18"/>
  <c r="G228" i="18" s="1"/>
  <c r="S26" i="18"/>
  <c r="M26" i="18"/>
  <c r="T26" i="18" s="1"/>
  <c r="L26" i="18"/>
  <c r="K26" i="18"/>
  <c r="R26" i="18" s="1"/>
  <c r="I24" i="18"/>
  <c r="P24" i="18" s="1"/>
  <c r="U22" i="18"/>
  <c r="W353" i="18" s="1"/>
  <c r="N22" i="18"/>
  <c r="O353" i="18" s="1"/>
  <c r="G22" i="18"/>
  <c r="G353" i="18" s="1"/>
  <c r="U21" i="18"/>
  <c r="W332" i="18" s="1"/>
  <c r="N21" i="18"/>
  <c r="O332" i="18" s="1"/>
  <c r="G21" i="18"/>
  <c r="G332" i="18" s="1"/>
  <c r="U20" i="18"/>
  <c r="W311" i="18" s="1"/>
  <c r="N20" i="18"/>
  <c r="G20" i="18"/>
  <c r="G311" i="18" s="1"/>
  <c r="U19" i="18"/>
  <c r="W290" i="18" s="1"/>
  <c r="N19" i="18"/>
  <c r="O290" i="18" s="1"/>
  <c r="G19" i="18"/>
  <c r="G290" i="18" s="1"/>
  <c r="U18" i="18"/>
  <c r="W269" i="18" s="1"/>
  <c r="N18" i="18"/>
  <c r="O269" i="18" s="1"/>
  <c r="G18" i="18"/>
  <c r="G269" i="18" s="1"/>
  <c r="U17" i="18"/>
  <c r="W248" i="18" s="1"/>
  <c r="N17" i="18"/>
  <c r="O248" i="18" s="1"/>
  <c r="G17" i="18"/>
  <c r="G248" i="18" s="1"/>
  <c r="U16" i="18"/>
  <c r="W227" i="18" s="1"/>
  <c r="N16" i="18"/>
  <c r="O227" i="18" s="1"/>
  <c r="G16" i="18"/>
  <c r="G227" i="18" s="1"/>
  <c r="T15" i="18"/>
  <c r="M15" i="18"/>
  <c r="L15" i="18"/>
  <c r="S15" i="18" s="1"/>
  <c r="K15" i="18"/>
  <c r="R15" i="18" s="1"/>
  <c r="P13" i="18"/>
  <c r="I13" i="18"/>
  <c r="U11" i="18"/>
  <c r="W352" i="18" s="1"/>
  <c r="N11" i="18"/>
  <c r="O352" i="18" s="1"/>
  <c r="G11" i="18"/>
  <c r="G352" i="18" s="1"/>
  <c r="U10" i="18"/>
  <c r="W331" i="18" s="1"/>
  <c r="N10" i="18"/>
  <c r="O331" i="18" s="1"/>
  <c r="G10" i="18"/>
  <c r="G331" i="18" s="1"/>
  <c r="U9" i="18"/>
  <c r="W310" i="18" s="1"/>
  <c r="N9" i="18"/>
  <c r="G9" i="18"/>
  <c r="G310" i="18" s="1"/>
  <c r="U8" i="18"/>
  <c r="W289" i="18" s="1"/>
  <c r="N8" i="18"/>
  <c r="O289" i="18" s="1"/>
  <c r="G8" i="18"/>
  <c r="G289" i="18" s="1"/>
  <c r="U7" i="18"/>
  <c r="W268" i="18" s="1"/>
  <c r="N7" i="18"/>
  <c r="O268" i="18" s="1"/>
  <c r="G7" i="18"/>
  <c r="G268" i="18" s="1"/>
  <c r="U6" i="18"/>
  <c r="N6" i="18"/>
  <c r="O247" i="18" s="1"/>
  <c r="G6" i="18"/>
  <c r="G247" i="18" s="1"/>
  <c r="U5" i="18"/>
  <c r="W226" i="18" s="1"/>
  <c r="N5" i="18"/>
  <c r="O226" i="18" s="1"/>
  <c r="G5" i="18"/>
  <c r="G226" i="18" s="1"/>
  <c r="T4" i="18"/>
  <c r="S4" i="18"/>
  <c r="M4" i="18"/>
  <c r="L4" i="18"/>
  <c r="K4" i="18"/>
  <c r="R4" i="18" s="1"/>
  <c r="I2" i="18"/>
  <c r="P2" i="18" s="1"/>
  <c r="B265" i="23" l="1"/>
  <c r="D268" i="23" s="1"/>
  <c r="D276" i="23" s="1"/>
  <c r="D284" i="23" s="1"/>
  <c r="D290" i="23" s="1"/>
  <c r="A20" i="25"/>
  <c r="A15" i="25"/>
  <c r="A17" i="25"/>
  <c r="N298" i="23"/>
  <c r="N311" i="23" s="1"/>
  <c r="A265" i="23"/>
  <c r="A382" i="18"/>
  <c r="A381" i="18"/>
  <c r="S373" i="18"/>
  <c r="A379" i="18"/>
  <c r="E377" i="18"/>
  <c r="D378" i="18"/>
  <c r="B375" i="18"/>
  <c r="H375" i="18" s="1"/>
  <c r="N375" i="18" s="1"/>
  <c r="D376" i="18"/>
  <c r="B378" i="18"/>
  <c r="O311" i="18"/>
  <c r="O310" i="18"/>
  <c r="E380" i="18"/>
  <c r="G301" i="18"/>
  <c r="G302" i="18"/>
  <c r="O302" i="18"/>
  <c r="O281" i="18"/>
  <c r="G286" i="18"/>
  <c r="G285" i="18"/>
  <c r="T373" i="18"/>
  <c r="N373" i="18"/>
  <c r="W378" i="18"/>
  <c r="E376" i="18"/>
  <c r="C378" i="18"/>
  <c r="E378" i="18"/>
  <c r="B379" i="18"/>
  <c r="A380" i="18"/>
  <c r="B381" i="18"/>
  <c r="B382" i="18"/>
  <c r="A377" i="18"/>
  <c r="C379" i="18"/>
  <c r="B380" i="18"/>
  <c r="C381" i="18"/>
  <c r="C382" i="18"/>
  <c r="C375" i="18"/>
  <c r="I375" i="18" s="1"/>
  <c r="O375" i="18" s="1"/>
  <c r="A376" i="18"/>
  <c r="B377" i="18"/>
  <c r="D379" i="18"/>
  <c r="C380" i="18"/>
  <c r="D381" i="18"/>
  <c r="D382" i="18"/>
  <c r="G373" i="18"/>
  <c r="D375" i="18"/>
  <c r="J375" i="18" s="1"/>
  <c r="P375" i="18" s="1"/>
  <c r="B376" i="18"/>
  <c r="C377" i="18"/>
  <c r="E379" i="18"/>
  <c r="D380" i="18"/>
  <c r="E381" i="18"/>
  <c r="E382" i="18"/>
  <c r="C376" i="18"/>
  <c r="D377" i="18"/>
  <c r="A378" i="18"/>
  <c r="B268" i="23" l="1"/>
  <c r="B276" i="23" s="1"/>
  <c r="B284" i="23" s="1"/>
  <c r="B290" i="23" s="1"/>
  <c r="W379" i="18"/>
  <c r="O392" i="18" s="1"/>
  <c r="W377" i="18"/>
  <c r="O391" i="18"/>
  <c r="G16" i="7"/>
  <c r="C268" i="23"/>
  <c r="C276" i="23" s="1"/>
  <c r="C284" i="23" s="1"/>
  <c r="C290" i="23" s="1"/>
  <c r="F294" i="23"/>
  <c r="D293" i="23"/>
  <c r="B292" i="23"/>
  <c r="B288" i="23"/>
  <c r="B287" i="23"/>
  <c r="B286" i="23"/>
  <c r="B285" i="23"/>
  <c r="F280" i="23"/>
  <c r="F279" i="23"/>
  <c r="F278" i="23"/>
  <c r="F277" i="23"/>
  <c r="A274" i="23"/>
  <c r="B272" i="23"/>
  <c r="C271" i="23"/>
  <c r="D270" i="23"/>
  <c r="F293" i="23"/>
  <c r="B291" i="23"/>
  <c r="E294" i="23"/>
  <c r="C293" i="23"/>
  <c r="A292" i="23"/>
  <c r="A288" i="23"/>
  <c r="A287" i="23"/>
  <c r="A286" i="23"/>
  <c r="A285" i="23"/>
  <c r="E280" i="23"/>
  <c r="E279" i="23"/>
  <c r="E278" i="23"/>
  <c r="E277" i="23"/>
  <c r="F273" i="23"/>
  <c r="A272" i="23"/>
  <c r="B271" i="23"/>
  <c r="C270" i="23"/>
  <c r="E269" i="23"/>
  <c r="D287" i="23"/>
  <c r="B282" i="23"/>
  <c r="D294" i="23"/>
  <c r="B293" i="23"/>
  <c r="F291" i="23"/>
  <c r="F282" i="23"/>
  <c r="F281" i="23"/>
  <c r="D280" i="23"/>
  <c r="D279" i="23"/>
  <c r="D278" i="23"/>
  <c r="D277" i="23"/>
  <c r="E273" i="23"/>
  <c r="A271" i="23"/>
  <c r="B270" i="23"/>
  <c r="D269" i="23"/>
  <c r="C294" i="23"/>
  <c r="A293" i="23"/>
  <c r="E291" i="23"/>
  <c r="E282" i="23"/>
  <c r="E281" i="23"/>
  <c r="C280" i="23"/>
  <c r="C279" i="23"/>
  <c r="C278" i="23"/>
  <c r="C277" i="23"/>
  <c r="F274" i="23"/>
  <c r="D273" i="23"/>
  <c r="A270" i="23"/>
  <c r="C269" i="23"/>
  <c r="D288" i="23"/>
  <c r="B294" i="23"/>
  <c r="F292" i="23"/>
  <c r="D291" i="23"/>
  <c r="F288" i="23"/>
  <c r="F287" i="23"/>
  <c r="F286" i="23"/>
  <c r="F285" i="23"/>
  <c r="D282" i="23"/>
  <c r="D281" i="23"/>
  <c r="B280" i="23"/>
  <c r="B279" i="23"/>
  <c r="B278" i="23"/>
  <c r="B277" i="23"/>
  <c r="E274" i="23"/>
  <c r="C273" i="23"/>
  <c r="F272" i="23"/>
  <c r="B269" i="23"/>
  <c r="A294" i="23"/>
  <c r="E292" i="23"/>
  <c r="C291" i="23"/>
  <c r="E288" i="23"/>
  <c r="E287" i="23"/>
  <c r="E286" i="23"/>
  <c r="E285" i="23"/>
  <c r="C282" i="23"/>
  <c r="C281" i="23"/>
  <c r="A280" i="23"/>
  <c r="A279" i="23"/>
  <c r="A278" i="23"/>
  <c r="A277" i="23"/>
  <c r="D274" i="23"/>
  <c r="B273" i="23"/>
  <c r="E272" i="23"/>
  <c r="F271" i="23"/>
  <c r="A269" i="23"/>
  <c r="E293" i="23"/>
  <c r="C292" i="23"/>
  <c r="A291" i="23"/>
  <c r="C288" i="23"/>
  <c r="C287" i="23"/>
  <c r="C286" i="23"/>
  <c r="C285" i="23"/>
  <c r="A282" i="23"/>
  <c r="A281" i="23"/>
  <c r="B274" i="23"/>
  <c r="C272" i="23"/>
  <c r="D271" i="23"/>
  <c r="E270" i="23"/>
  <c r="D292" i="23"/>
  <c r="D286" i="23"/>
  <c r="A273" i="23"/>
  <c r="B281" i="23"/>
  <c r="F270" i="23"/>
  <c r="D272" i="23"/>
  <c r="E271" i="23"/>
  <c r="D285" i="23"/>
  <c r="C274" i="23"/>
  <c r="S386" i="18"/>
  <c r="H382" i="18"/>
  <c r="H381" i="18"/>
  <c r="G380" i="18"/>
  <c r="H379" i="18"/>
  <c r="K378" i="18"/>
  <c r="M373" i="18"/>
  <c r="G382" i="18"/>
  <c r="G381" i="18"/>
  <c r="G379" i="18"/>
  <c r="J378" i="18"/>
  <c r="I378" i="18"/>
  <c r="K376" i="18"/>
  <c r="H378" i="18"/>
  <c r="K377" i="18"/>
  <c r="J376" i="18"/>
  <c r="K380" i="18"/>
  <c r="G378" i="18"/>
  <c r="J377" i="18"/>
  <c r="I376" i="18"/>
  <c r="K382" i="18"/>
  <c r="K381" i="18"/>
  <c r="J380" i="18"/>
  <c r="K379" i="18"/>
  <c r="I377" i="18"/>
  <c r="H376" i="18"/>
  <c r="I382" i="18"/>
  <c r="I381" i="18"/>
  <c r="H380" i="18"/>
  <c r="I379" i="18"/>
  <c r="G377" i="18"/>
  <c r="G376" i="18"/>
  <c r="J381" i="18"/>
  <c r="I380" i="18"/>
  <c r="J379" i="18"/>
  <c r="H377" i="18"/>
  <c r="J382" i="18"/>
  <c r="H266" i="23" l="1"/>
  <c r="G15" i="7"/>
  <c r="O390" i="18"/>
  <c r="J266" i="23"/>
  <c r="N270" i="23" s="1"/>
  <c r="O270" i="23" s="1"/>
  <c r="K279" i="23"/>
  <c r="K277" i="23"/>
  <c r="I279" i="23"/>
  <c r="I277" i="23"/>
  <c r="I283" i="23"/>
  <c r="K281" i="23"/>
  <c r="K283" i="23"/>
  <c r="I281" i="23"/>
  <c r="H269" i="23"/>
  <c r="N272" i="23" s="1"/>
  <c r="O272" i="23" s="1"/>
  <c r="T25" i="8" s="1"/>
  <c r="K266" i="23"/>
  <c r="U377" i="18"/>
  <c r="T386" i="18"/>
  <c r="U378" i="18" s="1"/>
  <c r="E16" i="7" s="1"/>
  <c r="Q382" i="18"/>
  <c r="Q381" i="18"/>
  <c r="P380" i="18"/>
  <c r="Q379" i="18"/>
  <c r="O377" i="18"/>
  <c r="N376" i="18"/>
  <c r="P382" i="18"/>
  <c r="P381" i="18"/>
  <c r="O380" i="18"/>
  <c r="P379" i="18"/>
  <c r="N377" i="18"/>
  <c r="M376" i="18"/>
  <c r="O382" i="18"/>
  <c r="O381" i="18"/>
  <c r="N380" i="18"/>
  <c r="O379" i="18"/>
  <c r="M377" i="18"/>
  <c r="N382" i="18"/>
  <c r="N381" i="18"/>
  <c r="M380" i="18"/>
  <c r="N379" i="18"/>
  <c r="Q378" i="18"/>
  <c r="M382" i="18"/>
  <c r="M381" i="18"/>
  <c r="M379" i="18"/>
  <c r="P378" i="18"/>
  <c r="O378" i="18"/>
  <c r="Q376" i="18"/>
  <c r="Q380" i="18"/>
  <c r="M378" i="18"/>
  <c r="P377" i="18"/>
  <c r="O376" i="18"/>
  <c r="N378" i="18"/>
  <c r="Q377" i="18"/>
  <c r="P376" i="18"/>
  <c r="G15" i="12" l="1"/>
  <c r="E15" i="7"/>
  <c r="J282" i="23"/>
  <c r="N271" i="23" s="1"/>
  <c r="O271" i="23" s="1"/>
  <c r="H27" i="7" s="1"/>
  <c r="J278" i="23"/>
  <c r="N268" i="23" s="1"/>
  <c r="N391" i="18"/>
  <c r="T382" i="18" s="1"/>
  <c r="E16" i="8" s="1"/>
  <c r="G16" i="12"/>
  <c r="N390" i="18"/>
  <c r="T381" i="18" s="1"/>
  <c r="E15" i="8" s="1"/>
  <c r="U386" i="18"/>
  <c r="I25" i="8" l="1"/>
  <c r="E17" i="7"/>
  <c r="O268" i="23"/>
  <c r="H272" i="23" s="1"/>
  <c r="H286" i="23"/>
  <c r="U379" i="18"/>
  <c r="N392" i="18" s="1"/>
  <c r="T383" i="18" s="1"/>
  <c r="I269" i="23"/>
  <c r="I272" i="23" s="1"/>
  <c r="H274" i="23" l="1"/>
  <c r="E17" i="8" s="1"/>
  <c r="K287" i="23" l="1"/>
  <c r="K285" i="23"/>
  <c r="I287" i="23"/>
  <c r="I285" i="23"/>
  <c r="J286" i="23" l="1"/>
  <c r="G17" i="7" s="1"/>
  <c r="E7" i="7" l="1"/>
  <c r="E9" i="8"/>
  <c r="G67" i="7"/>
  <c r="E9" i="7" l="1"/>
  <c r="D17" i="25" s="1"/>
  <c r="B52" i="25" s="1"/>
  <c r="B53" i="25" s="1"/>
  <c r="B57" i="25" l="1"/>
  <c r="B56" i="25"/>
  <c r="B55" i="25" s="1"/>
  <c r="D20" i="25" s="1"/>
  <c r="B50" i="8"/>
  <c r="B50" i="7" s="1"/>
  <c r="O39" i="8" l="1"/>
  <c r="G41" i="7" l="1"/>
  <c r="G39" i="7"/>
  <c r="G42" i="7"/>
  <c r="G43" i="7"/>
  <c r="G40" i="7" l="1"/>
  <c r="K27" i="12"/>
  <c r="K26" i="12"/>
  <c r="S25" i="8"/>
  <c r="B48" i="12" l="1"/>
  <c r="E8" i="7" l="1"/>
  <c r="D16" i="25" s="1"/>
  <c r="D8" i="8"/>
  <c r="D8" i="7" s="1"/>
  <c r="A8" i="8"/>
  <c r="A8" i="7" s="1"/>
  <c r="D37" i="8"/>
  <c r="D31" i="8"/>
  <c r="H33" i="7"/>
  <c r="H39" i="7"/>
  <c r="B39" i="7"/>
  <c r="C33" i="7"/>
  <c r="I33" i="8"/>
  <c r="I39" i="8"/>
  <c r="B39" i="8"/>
  <c r="C33" i="8"/>
  <c r="H74" i="7" l="1"/>
  <c r="Q23" i="8" l="1"/>
  <c r="E12" i="8" l="1"/>
  <c r="C27" i="8" l="1"/>
  <c r="C26" i="8"/>
  <c r="C25" i="8"/>
  <c r="A10" i="12" l="1"/>
  <c r="A9" i="12"/>
  <c r="A3" i="22" l="1"/>
  <c r="Q37" i="8"/>
  <c r="N42" i="13" l="1"/>
  <c r="E37" i="7" l="1"/>
  <c r="E31" i="7"/>
  <c r="F92" i="14" l="1"/>
  <c r="E92" i="14"/>
  <c r="F78" i="14"/>
  <c r="E78" i="14"/>
  <c r="F64" i="14"/>
  <c r="E64" i="14"/>
  <c r="F50" i="14"/>
  <c r="E50" i="14"/>
  <c r="B22" i="14"/>
  <c r="F22" i="14"/>
  <c r="E22" i="14"/>
  <c r="F37" i="12" l="1"/>
  <c r="F8" i="14"/>
  <c r="E8" i="14"/>
  <c r="B8" i="14"/>
  <c r="H4" i="21"/>
  <c r="D22" i="14" s="1"/>
  <c r="G22" i="14" s="1"/>
  <c r="I22" i="14" s="1"/>
  <c r="K22" i="14" s="1"/>
  <c r="F36" i="14"/>
  <c r="E36" i="14"/>
  <c r="B36" i="14"/>
  <c r="D8" i="14" l="1"/>
  <c r="J22" i="14"/>
  <c r="G8" i="14"/>
  <c r="I8" i="14" s="1"/>
  <c r="K8" i="14" s="1"/>
  <c r="G92" i="14"/>
  <c r="I92" i="14" s="1"/>
  <c r="G78" i="14"/>
  <c r="I78" i="14" s="1"/>
  <c r="G64" i="14"/>
  <c r="I64" i="14" s="1"/>
  <c r="G50" i="14"/>
  <c r="I50" i="14" s="1"/>
  <c r="G36" i="14"/>
  <c r="I36" i="14" s="1"/>
  <c r="J36" i="14" s="1"/>
  <c r="A7" i="12"/>
  <c r="J8" i="14" l="1"/>
  <c r="K36" i="14"/>
  <c r="J78" i="14"/>
  <c r="K78" i="14"/>
  <c r="J92" i="14"/>
  <c r="K92" i="14"/>
  <c r="K50" i="14"/>
  <c r="J50" i="14"/>
  <c r="J64" i="14"/>
  <c r="K64" i="14"/>
  <c r="J26" i="8"/>
  <c r="O26" i="8" s="1"/>
  <c r="J25" i="8"/>
  <c r="B29" i="12"/>
  <c r="B29" i="8" s="1"/>
  <c r="B29" i="7" s="1"/>
  <c r="A29" i="12"/>
  <c r="A29" i="8" s="1"/>
  <c r="A29" i="7" s="1"/>
  <c r="J25" i="7" l="1"/>
  <c r="O25" i="8"/>
  <c r="J26" i="7"/>
  <c r="G4" i="21"/>
  <c r="B63" i="8" l="1"/>
  <c r="B63" i="7" s="1"/>
  <c r="A63" i="8"/>
  <c r="A63" i="7" s="1"/>
  <c r="B59" i="8"/>
  <c r="B59" i="7" s="1"/>
  <c r="A59" i="8"/>
  <c r="A59" i="7" s="1"/>
  <c r="C39" i="7"/>
  <c r="B33" i="7"/>
  <c r="C26" i="7"/>
  <c r="C25" i="7"/>
  <c r="B26" i="7"/>
  <c r="B27" i="7"/>
  <c r="B25" i="7"/>
  <c r="D17" i="7"/>
  <c r="D7" i="14" l="1"/>
  <c r="C5" i="21"/>
  <c r="D20" i="14" s="1"/>
  <c r="D6" i="14"/>
  <c r="B5" i="21"/>
  <c r="F34" i="8" s="1"/>
  <c r="B4" i="21"/>
  <c r="A5" i="21"/>
  <c r="A4" i="21"/>
  <c r="C46" i="14"/>
  <c r="C32" i="14"/>
  <c r="A7" i="21"/>
  <c r="A13" i="21" s="1"/>
  <c r="D5" i="21" l="1"/>
  <c r="E5" i="21" s="1"/>
  <c r="D4" i="21"/>
  <c r="E4" i="21" s="1"/>
  <c r="F4" i="21"/>
  <c r="G33" i="7" s="1"/>
  <c r="F33" i="7"/>
  <c r="F5" i="21"/>
  <c r="F34" i="7"/>
  <c r="F33" i="8"/>
  <c r="D21" i="14"/>
  <c r="N33" i="8" l="1"/>
  <c r="O33" i="8" s="1"/>
  <c r="H33" i="8"/>
  <c r="G34" i="7"/>
  <c r="N34" i="8"/>
  <c r="O34" i="8" s="1"/>
  <c r="H34" i="8"/>
  <c r="B2" i="22" l="1"/>
  <c r="C2" i="22" s="1"/>
  <c r="D2" i="22" s="1"/>
  <c r="E2" i="22" l="1"/>
  <c r="F39" i="7"/>
  <c r="F43" i="7"/>
  <c r="F41" i="7"/>
  <c r="F42" i="7" l="1"/>
  <c r="F40" i="7"/>
  <c r="O43" i="8" l="1"/>
  <c r="O41" i="8"/>
  <c r="B54" i="8"/>
  <c r="B54" i="7" s="1"/>
  <c r="B53" i="8"/>
  <c r="B53" i="7" s="1"/>
  <c r="A53" i="8"/>
  <c r="A53" i="7" s="1"/>
  <c r="B47" i="8"/>
  <c r="B47" i="7" s="1"/>
  <c r="B45" i="8"/>
  <c r="B45" i="7" s="1"/>
  <c r="A45" i="8"/>
  <c r="A45" i="7" s="1"/>
  <c r="B36" i="8"/>
  <c r="B36" i="7" s="1"/>
  <c r="B30" i="8"/>
  <c r="B30" i="7" s="1"/>
  <c r="O42" i="8" l="1"/>
  <c r="O40" i="8"/>
  <c r="A2" i="22"/>
  <c r="C27" i="7"/>
  <c r="B23" i="8"/>
  <c r="B23" i="7" s="1"/>
  <c r="A23" i="8"/>
  <c r="A23" i="7" s="1"/>
  <c r="B33" i="8"/>
  <c r="E7" i="8"/>
  <c r="E21" i="8"/>
  <c r="E20" i="8"/>
  <c r="B21" i="8"/>
  <c r="B21" i="7" s="1"/>
  <c r="B20" i="8"/>
  <c r="B20" i="7" s="1"/>
  <c r="B19" i="8"/>
  <c r="B19" i="7" s="1"/>
  <c r="A19" i="8"/>
  <c r="A19" i="7" s="1"/>
  <c r="B15" i="8"/>
  <c r="B15" i="7" s="1"/>
  <c r="B16" i="8"/>
  <c r="B16" i="7" s="1"/>
  <c r="B17" i="8"/>
  <c r="B17" i="7" s="1"/>
  <c r="B14" i="8"/>
  <c r="B14" i="7" s="1"/>
  <c r="A14" i="8"/>
  <c r="A14" i="7" s="1"/>
  <c r="C88" i="14"/>
  <c r="C74" i="14"/>
  <c r="C60" i="14"/>
  <c r="B3" i="22" l="1"/>
  <c r="C3" i="22" s="1"/>
  <c r="D3" i="22" s="1"/>
  <c r="A7" i="22" s="1"/>
  <c r="B7" i="22" s="1"/>
  <c r="E20" i="7"/>
  <c r="O20" i="8"/>
  <c r="O21" i="8"/>
  <c r="E21" i="7"/>
  <c r="Q40" i="8" l="1"/>
  <c r="C7" i="22"/>
  <c r="R40" i="8" s="1"/>
  <c r="E3" i="22"/>
  <c r="B48" i="8"/>
  <c r="B48" i="7" s="1"/>
  <c r="J27" i="8" l="1"/>
  <c r="R31" i="8" s="1"/>
  <c r="J27" i="7" l="1"/>
  <c r="W23" i="8"/>
  <c r="B51" i="12" s="1"/>
  <c r="B51" i="8" s="1"/>
  <c r="B51" i="7" s="1"/>
  <c r="Q31" i="8"/>
  <c r="O27" i="8" l="1"/>
  <c r="B57" i="8"/>
  <c r="B57" i="7" s="1"/>
  <c r="N25" i="8" l="1"/>
  <c r="M69" i="8" s="1"/>
  <c r="D7" i="7"/>
  <c r="A7" i="8"/>
  <c r="A7" i="7" s="1"/>
  <c r="A2" i="7" l="1"/>
  <c r="H1" i="25"/>
  <c r="I69" i="8"/>
  <c r="A2" i="8" l="1"/>
  <c r="A5" i="8"/>
  <c r="A6" i="8"/>
  <c r="A9" i="8"/>
  <c r="A10" i="8"/>
  <c r="A11" i="8"/>
  <c r="A4" i="8"/>
  <c r="F94" i="14"/>
  <c r="F93" i="14"/>
  <c r="F91" i="14"/>
  <c r="F80" i="14"/>
  <c r="F79" i="14"/>
  <c r="F77" i="14"/>
  <c r="F66" i="14"/>
  <c r="F65" i="14"/>
  <c r="F63" i="14"/>
  <c r="F52" i="14"/>
  <c r="F51" i="14"/>
  <c r="F49" i="14"/>
  <c r="F38" i="14"/>
  <c r="F37" i="14"/>
  <c r="F35" i="14"/>
  <c r="F24" i="14"/>
  <c r="F23" i="14"/>
  <c r="F21" i="14"/>
  <c r="F10" i="14"/>
  <c r="F9" i="14"/>
  <c r="F7" i="14"/>
  <c r="C18" i="14" l="1"/>
  <c r="C4" i="14"/>
  <c r="A18" i="14"/>
  <c r="A4" i="14"/>
  <c r="G24" i="14"/>
  <c r="I24" i="14" s="1"/>
  <c r="E23" i="14"/>
  <c r="G23" i="14" s="1"/>
  <c r="I23" i="14" s="1"/>
  <c r="B23" i="14"/>
  <c r="E21" i="14"/>
  <c r="G21" i="14" s="1"/>
  <c r="I21" i="14" s="1"/>
  <c r="E20" i="14"/>
  <c r="B20" i="14"/>
  <c r="K30" i="14"/>
  <c r="G10" i="14"/>
  <c r="I10" i="14" s="1"/>
  <c r="E9" i="14"/>
  <c r="B9" i="14"/>
  <c r="E7" i="14"/>
  <c r="G7" i="14" s="1"/>
  <c r="I7" i="14" s="1"/>
  <c r="E6" i="14"/>
  <c r="B6" i="14"/>
  <c r="K16" i="14"/>
  <c r="G9" i="14" l="1"/>
  <c r="I9" i="14" s="1"/>
  <c r="J9" i="14" s="1"/>
  <c r="K21" i="14"/>
  <c r="J21" i="14"/>
  <c r="J23" i="14"/>
  <c r="K23" i="14"/>
  <c r="J24" i="14"/>
  <c r="K24" i="14"/>
  <c r="B21" i="14"/>
  <c r="B24" i="14"/>
  <c r="K7" i="14"/>
  <c r="J7" i="14"/>
  <c r="J10" i="14"/>
  <c r="K10" i="14"/>
  <c r="B7" i="14"/>
  <c r="B10" i="14"/>
  <c r="K9" i="14" l="1"/>
  <c r="B49" i="8"/>
  <c r="B49" i="7" s="1"/>
  <c r="G20" i="14"/>
  <c r="I20" i="14" s="1"/>
  <c r="G6" i="14"/>
  <c r="I6" i="14" s="1"/>
  <c r="J20" i="14" l="1"/>
  <c r="J26" i="14" s="1"/>
  <c r="J27" i="14" s="1"/>
  <c r="K20" i="14"/>
  <c r="K26" i="14" s="1"/>
  <c r="J6" i="14"/>
  <c r="J12" i="14" s="1"/>
  <c r="J13" i="14" s="1"/>
  <c r="K6" i="14"/>
  <c r="K12" i="14" s="1"/>
  <c r="J14" i="14" l="1"/>
  <c r="J15" i="14" s="1"/>
  <c r="J16" i="14" s="1"/>
  <c r="J33" i="7" s="1"/>
  <c r="J28" i="14"/>
  <c r="J29" i="14" s="1"/>
  <c r="J30" i="14" s="1"/>
  <c r="J34" i="8" l="1"/>
  <c r="J33" i="8"/>
  <c r="E93" i="14"/>
  <c r="E91" i="14"/>
  <c r="E90" i="14"/>
  <c r="E79" i="14"/>
  <c r="E77" i="14"/>
  <c r="E76" i="14"/>
  <c r="D74" i="14"/>
  <c r="E65" i="14"/>
  <c r="E63" i="14"/>
  <c r="E62" i="14"/>
  <c r="D60" i="14"/>
  <c r="A60" i="14"/>
  <c r="E51" i="14"/>
  <c r="E49" i="14"/>
  <c r="E48" i="14"/>
  <c r="D46" i="14"/>
  <c r="A46" i="14"/>
  <c r="K44" i="14"/>
  <c r="B38" i="14"/>
  <c r="E37" i="14"/>
  <c r="B37" i="14"/>
  <c r="E35" i="14"/>
  <c r="B35" i="14"/>
  <c r="E34" i="14"/>
  <c r="B34" i="14"/>
  <c r="B62" i="14" l="1"/>
  <c r="B64" i="14"/>
  <c r="B76" i="14"/>
  <c r="B78" i="14"/>
  <c r="K58" i="14"/>
  <c r="B50" i="14"/>
  <c r="B48" i="14"/>
  <c r="G49" i="14"/>
  <c r="I49" i="14" s="1"/>
  <c r="J49" i="14" s="1"/>
  <c r="G77" i="14"/>
  <c r="I77" i="14" s="1"/>
  <c r="J77" i="14" s="1"/>
  <c r="G91" i="14"/>
  <c r="I91" i="14" s="1"/>
  <c r="K91" i="14" s="1"/>
  <c r="B51" i="14"/>
  <c r="G62" i="14"/>
  <c r="I62" i="14" s="1"/>
  <c r="K62" i="14" s="1"/>
  <c r="G48" i="14"/>
  <c r="I48" i="14" s="1"/>
  <c r="J48" i="14" s="1"/>
  <c r="G76" i="14"/>
  <c r="I76" i="14" s="1"/>
  <c r="J76" i="14" s="1"/>
  <c r="G34" i="14"/>
  <c r="I34" i="14" s="1"/>
  <c r="K34" i="14" s="1"/>
  <c r="G90" i="14"/>
  <c r="I90" i="14" s="1"/>
  <c r="G63" i="14"/>
  <c r="I63" i="14" s="1"/>
  <c r="J63" i="14" s="1"/>
  <c r="D88" i="14"/>
  <c r="G35" i="14"/>
  <c r="I35" i="14" s="1"/>
  <c r="B66" i="14"/>
  <c r="K72" i="14"/>
  <c r="B80" i="14"/>
  <c r="K86" i="14"/>
  <c r="B49" i="14"/>
  <c r="B65" i="14"/>
  <c r="B79" i="14"/>
  <c r="B63" i="14"/>
  <c r="B77" i="14"/>
  <c r="B52" i="14"/>
  <c r="B91" i="14" l="1"/>
  <c r="B92" i="14"/>
  <c r="K77" i="14"/>
  <c r="K63" i="14"/>
  <c r="J91" i="14"/>
  <c r="K49" i="14"/>
  <c r="B90" i="14"/>
  <c r="B94" i="14"/>
  <c r="G51" i="14"/>
  <c r="I51" i="14" s="1"/>
  <c r="K51" i="14" s="1"/>
  <c r="J90" i="14"/>
  <c r="K90" i="14"/>
  <c r="K76" i="14"/>
  <c r="K48" i="14"/>
  <c r="J62" i="14"/>
  <c r="J34" i="14"/>
  <c r="K100" i="14"/>
  <c r="B93" i="14"/>
  <c r="G37" i="14"/>
  <c r="I37" i="14" s="1"/>
  <c r="J37" i="14" s="1"/>
  <c r="J35" i="14"/>
  <c r="K35" i="14"/>
  <c r="G38" i="14" l="1"/>
  <c r="I38" i="14" s="1"/>
  <c r="K38" i="14" s="1"/>
  <c r="G66" i="14"/>
  <c r="I66" i="14" s="1"/>
  <c r="J66" i="14" s="1"/>
  <c r="G80" i="14"/>
  <c r="I80" i="14" s="1"/>
  <c r="G94" i="14"/>
  <c r="I94" i="14" s="1"/>
  <c r="G52" i="14"/>
  <c r="I52" i="14" s="1"/>
  <c r="J52" i="14" s="1"/>
  <c r="J51" i="14"/>
  <c r="K37" i="14"/>
  <c r="K66" i="14" l="1"/>
  <c r="K40" i="14"/>
  <c r="J38" i="14"/>
  <c r="J40" i="14" s="1"/>
  <c r="J41" i="14" s="1"/>
  <c r="K80" i="14"/>
  <c r="J80" i="14"/>
  <c r="K94" i="14"/>
  <c r="J94" i="14"/>
  <c r="G65" i="14"/>
  <c r="I65" i="14" s="1"/>
  <c r="J65" i="14" s="1"/>
  <c r="J68" i="14" s="1"/>
  <c r="J69" i="14" s="1"/>
  <c r="G79" i="14"/>
  <c r="I79" i="14" s="1"/>
  <c r="G93" i="14"/>
  <c r="I93" i="14" s="1"/>
  <c r="J54" i="14"/>
  <c r="J55" i="14" s="1"/>
  <c r="K52" i="14"/>
  <c r="K54" i="14" s="1"/>
  <c r="J56" i="14" l="1"/>
  <c r="J57" i="14" s="1"/>
  <c r="J58" i="14" s="1"/>
  <c r="J42" i="14"/>
  <c r="J43" i="14" s="1"/>
  <c r="J44" i="14" s="1"/>
  <c r="K65" i="14"/>
  <c r="K68" i="14" s="1"/>
  <c r="J70" i="14" s="1"/>
  <c r="J71" i="14" s="1"/>
  <c r="J72" i="14" s="1"/>
  <c r="J79" i="14"/>
  <c r="J82" i="14" s="1"/>
  <c r="J83" i="14" s="1"/>
  <c r="K79" i="14"/>
  <c r="K82" i="14" s="1"/>
  <c r="J93" i="14"/>
  <c r="J96" i="14" s="1"/>
  <c r="J97" i="14" s="1"/>
  <c r="K93" i="14"/>
  <c r="K96" i="14" s="1"/>
  <c r="O156" i="20" l="1"/>
  <c r="K39" i="8"/>
  <c r="P156" i="20"/>
  <c r="Q156" i="20" s="1"/>
  <c r="R156" i="20" s="1"/>
  <c r="J73" i="14"/>
  <c r="J45" i="14"/>
  <c r="J59" i="14"/>
  <c r="J84" i="14"/>
  <c r="J85" i="14" s="1"/>
  <c r="J86" i="14" s="1"/>
  <c r="J98" i="14"/>
  <c r="J99" i="14" s="1"/>
  <c r="J100" i="14" s="1"/>
  <c r="I166" i="20" l="1"/>
  <c r="J166" i="20" s="1"/>
  <c r="R160" i="20"/>
  <c r="R161" i="20"/>
  <c r="R157" i="20"/>
  <c r="R162" i="20"/>
  <c r="R158" i="20"/>
  <c r="R159" i="20"/>
  <c r="J101" i="14"/>
  <c r="J87" i="14"/>
  <c r="J41" i="7"/>
  <c r="A1" i="7"/>
  <c r="J43" i="7" l="1"/>
  <c r="J39" i="7"/>
  <c r="J40" i="7"/>
  <c r="J42" i="7"/>
  <c r="B56" i="8"/>
  <c r="B56" i="7" s="1"/>
  <c r="B55" i="8"/>
  <c r="B55" i="7" s="1"/>
  <c r="B46" i="8"/>
  <c r="D16" i="7" l="1"/>
  <c r="D15" i="7"/>
  <c r="E12" i="7"/>
  <c r="D5" i="7"/>
  <c r="D6" i="7"/>
  <c r="D9" i="7"/>
  <c r="D10" i="7"/>
  <c r="D11" i="7"/>
  <c r="D12" i="7"/>
  <c r="D4" i="7"/>
  <c r="A12" i="7"/>
  <c r="A5" i="7"/>
  <c r="A6" i="7"/>
  <c r="A9" i="7"/>
  <c r="A10" i="7"/>
  <c r="A11" i="7"/>
  <c r="A4" i="7"/>
  <c r="B64" i="8" l="1"/>
  <c r="B60" i="8"/>
  <c r="E5" i="8"/>
  <c r="E5" i="7" s="1"/>
  <c r="D9" i="25" s="1"/>
  <c r="E6" i="8"/>
  <c r="E6" i="7" s="1"/>
  <c r="D10" i="25" s="1"/>
  <c r="E10" i="8"/>
  <c r="E10" i="7" s="1"/>
  <c r="E11" i="8"/>
  <c r="E11" i="7" s="1"/>
  <c r="D15" i="25" s="1"/>
  <c r="E4" i="8"/>
  <c r="E4" i="7" s="1"/>
  <c r="D8" i="25" s="1"/>
  <c r="B60" i="7" l="1"/>
  <c r="B46" i="7"/>
  <c r="B64" i="7"/>
  <c r="D18" i="2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PC-PK</author>
  </authors>
  <commentList>
    <comment ref="D20" authorId="0" shapeId="0" xr:uid="{E6074599-29C5-49FD-B2D1-A6D8B6A2897B}">
      <text>
        <r>
          <rPr>
            <b/>
            <sz val="9"/>
            <color indexed="81"/>
            <rFont val="Tahoma"/>
            <family val="2"/>
          </rPr>
          <t>PC-PK:</t>
        </r>
        <r>
          <rPr>
            <sz val="9"/>
            <color indexed="81"/>
            <rFont val="Tahoma"/>
            <family val="2"/>
          </rPr>
          <t xml:space="preserve">
CONTOH</t>
        </r>
      </text>
    </comment>
  </commentList>
</comments>
</file>

<file path=xl/sharedStrings.xml><?xml version="1.0" encoding="utf-8"?>
<sst xmlns="http://schemas.openxmlformats.org/spreadsheetml/2006/main" count="2691" uniqueCount="448">
  <si>
    <t>Lembar Kerja Kalibrasi HFNC</t>
  </si>
  <si>
    <t xml:space="preserve">Sertifikat / Surat Keterangan :  76 / ………. / ………. - ………. / E - ………. </t>
  </si>
  <si>
    <t>Merek</t>
  </si>
  <si>
    <t xml:space="preserve">: </t>
  </si>
  <si>
    <t>Model/Tipe</t>
  </si>
  <si>
    <t>No. Seri</t>
  </si>
  <si>
    <t>Resolusi Flow</t>
  </si>
  <si>
    <t>L/min</t>
  </si>
  <si>
    <t>Tanggal Kalibrasi</t>
  </si>
  <si>
    <t>:</t>
  </si>
  <si>
    <t>Tempat Kalibrasi</t>
  </si>
  <si>
    <t xml:space="preserve">Nama Ruang </t>
  </si>
  <si>
    <t xml:space="preserve">I.     </t>
  </si>
  <si>
    <t>Kondisi Ruang</t>
  </si>
  <si>
    <t>Awal</t>
  </si>
  <si>
    <t>Akhir</t>
  </si>
  <si>
    <t xml:space="preserve">1. Suhu </t>
  </si>
  <si>
    <r>
      <t>o</t>
    </r>
    <r>
      <rPr>
        <sz val="10"/>
        <rFont val="Arial"/>
        <family val="2"/>
      </rPr>
      <t>C</t>
    </r>
  </si>
  <si>
    <t>2. Kelembaban</t>
  </si>
  <si>
    <t>%RH</t>
  </si>
  <si>
    <t>3. Tegangan Jala-jala</t>
  </si>
  <si>
    <t>Volt</t>
  </si>
  <si>
    <t xml:space="preserve">II.     </t>
  </si>
  <si>
    <t>Pemeriksaan Kondisi Fisik dan Fungsi Alat.</t>
  </si>
  <si>
    <t>Score (%)</t>
  </si>
  <si>
    <t>1. Fisik</t>
  </si>
  <si>
    <t>: Baik / Tidak Baik</t>
  </si>
  <si>
    <t>2. Fungsi</t>
  </si>
  <si>
    <t>III.</t>
  </si>
  <si>
    <t>Pengujian Keselamatan Listrik</t>
  </si>
  <si>
    <t xml:space="preserve">No. </t>
  </si>
  <si>
    <t>Parameter</t>
  </si>
  <si>
    <t>Hasil Ukur</t>
  </si>
  <si>
    <t>Ambang Batas yang Diijinkan</t>
  </si>
  <si>
    <t>Resistansi Isolasi</t>
  </si>
  <si>
    <t>M Ω</t>
  </si>
  <si>
    <t>Resistansi pembumian protektif (Kabel dapat dilepas / tidak dapat dilepas)</t>
  </si>
  <si>
    <t>Ω</t>
  </si>
  <si>
    <t>(≤ 0.2 / ≤  0.3)</t>
  </si>
  <si>
    <t>Arus bocor peralatan untuk peralatan elektromedik kelas (I / II) (NO)</t>
  </si>
  <si>
    <t>µA</t>
  </si>
  <si>
    <t>(≤ 500 / ≤ 100)</t>
  </si>
  <si>
    <t>IV.</t>
  </si>
  <si>
    <t>Pengujian Kinerja</t>
  </si>
  <si>
    <t>A. Kalibrasi Akurasi Konsentrasi Oksigen</t>
  </si>
  <si>
    <t>No</t>
  </si>
  <si>
    <t>Setting                             Pada Alat</t>
  </si>
  <si>
    <t xml:space="preserve"> Pembacaan pada Standar</t>
  </si>
  <si>
    <t>Toleransi</t>
  </si>
  <si>
    <t>I</t>
  </si>
  <si>
    <t>II</t>
  </si>
  <si>
    <t>III</t>
  </si>
  <si>
    <t>IV</t>
  </si>
  <si>
    <t>V</t>
  </si>
  <si>
    <t>Konsentrasi Oksigen (%)</t>
  </si>
  <si>
    <t>± 3 %</t>
  </si>
  <si>
    <t>B. Kalibrasi Akurasi Laju Aliran</t>
  </si>
  <si>
    <t xml:space="preserve"> Pembacaan pada Standar (L/min)</t>
  </si>
  <si>
    <t>Flowmeter (L/min)</t>
  </si>
  <si>
    <t>V.</t>
  </si>
  <si>
    <t>Keterangan</t>
  </si>
  <si>
    <t>Ketidakpastian pengukuran dilaporkan pada tingkat kepercayaan 95% dengan faktor cakupan k=2</t>
  </si>
  <si>
    <t xml:space="preserve">Ketidakpastian pengukuran diperoleh dari sumber ketidakpastian tipe A dan tipe B untuk konsentrasi O2  </t>
  </si>
  <si>
    <r>
      <t xml:space="preserve">Kondisi instalasi pada ruangan ( </t>
    </r>
    <r>
      <rPr>
        <i/>
        <sz val="12"/>
        <rFont val="Arial"/>
        <family val="2"/>
      </rPr>
      <t>Ada Grounding / Tidak Ada Grounding</t>
    </r>
    <r>
      <rPr>
        <sz val="12"/>
        <rFont val="Arial"/>
        <family val="2"/>
      </rPr>
      <t xml:space="preserve"> )*</t>
    </r>
  </si>
  <si>
    <t>Arus bocor peralatan untuk peralatan elektromedik (NC) :…..........................µA*</t>
  </si>
  <si>
    <t>VI.</t>
  </si>
  <si>
    <t>Alat Ukur Yang Digunakan</t>
  </si>
  <si>
    <t>Oxygen Analyzer, Merek : Maxtec, Model : Max O2 (ZE92799014/AD26699010/FJ32099002/FJ32099004/FJ34299001)</t>
  </si>
  <si>
    <t>Gas Flow Analyzer, Merek : IMT Medical, Model : PF-300 SN (BA 120302/ BA 101580)</t>
  </si>
  <si>
    <t>Gas Flow Analyzer, Merek : Rigel, Model : Ventest 800 SN (BA 120986/ BA 120987/ BA200651)</t>
  </si>
  <si>
    <t>Gas Flow Analyzer, Merek : Fluke, Model : VT 305 SN (BF100519/BF102163/BF102142)</t>
  </si>
  <si>
    <t>Gas Flow Analyzer, Merek : Fluke, Model : VT Plus HF, SN (2847038)</t>
  </si>
  <si>
    <t>Gas Flow Analyzer, Merek : Fluke, Model : VT900A, SN (5101752-5102038/5101035-5102036)</t>
  </si>
  <si>
    <t>Electrical Safety Analyzer, Merek : Fluke, Model : ESA 620, SN(1837056) / (1834020)</t>
  </si>
  <si>
    <t>Electrical Safety Analyzer, Merek : Fluke, Model : ESA 615, SN(2853077/2853078/3148907/3148908/3699030/4669058/4670010)</t>
  </si>
  <si>
    <t>Digital Thermohygrometer, Merek : KIMO, Model : KH-210, SN(15062875/ 15062874/ 14082463/ 15062872/ 15062873)</t>
  </si>
  <si>
    <t>Digital Thermohygrometer, Merek : Sekonic, Model : ST - 50A, SN(HE 21-000670/  HE 21-000669)</t>
  </si>
  <si>
    <t>Digital Thermohygrobarometer, Merek : Greisinger, Model : GFTB 200, SN( 34903046/ 34903051/ 34903053 )</t>
  </si>
  <si>
    <t>Digital Thermohygrometer, Merek : GREISINGER, Model : GFTB 202, SN: 34904091</t>
  </si>
  <si>
    <t>Digital Thermohygrometer, Merek : EXTECH, Model : SD700, SN(A.100586/A.100605/A.100609/A.100611)</t>
  </si>
  <si>
    <t>Digital Thermohygrometer, Merek : EXTECH, Model : SD700, SN(A.100616/A.100617/A.100618)</t>
  </si>
  <si>
    <t>VII.</t>
  </si>
  <si>
    <t>Kesimpulan</t>
  </si>
  <si>
    <t>( LAIK PAKAI / TIDAK LAIK PAKAI )</t>
  </si>
  <si>
    <t>VIII.</t>
  </si>
  <si>
    <t>Petugas Kalibrasi</t>
  </si>
  <si>
    <t>No.</t>
  </si>
  <si>
    <t>Tanggal</t>
  </si>
  <si>
    <t>Revisi</t>
  </si>
  <si>
    <t>Hasil pengukuran keselamatan listrik tertelusur ke Satuan Internasional ( SI ) melalui PT. Kaliman (LK-032-IDN)</t>
  </si>
  <si>
    <t>Hasil pengujian keselamatan listrik tertelusur ke Satuan Internasional ( SI ) melalui PT. Kaliman (LK-032-IDN)</t>
  </si>
  <si>
    <t>Hasil pengujian Flow tertelusur ke Satuan Internasional (SI) melalui IMT Medical</t>
  </si>
  <si>
    <t>Hasil kalibrasi Flow tertelusur ke Satuan Internasional (SI) melalui IMT Medical</t>
  </si>
  <si>
    <t>Input Data Kalibrasi HFNC</t>
  </si>
  <si>
    <t xml:space="preserve"> </t>
  </si>
  <si>
    <t>SECHRIST</t>
  </si>
  <si>
    <t>3500 HL</t>
  </si>
  <si>
    <t>H73459</t>
  </si>
  <si>
    <t>Tanggal Penerimaan Alat</t>
  </si>
  <si>
    <t>Metode Kerja</t>
  </si>
  <si>
    <t>FV.MK 14</t>
  </si>
  <si>
    <t>Pembacaan Standar</t>
  </si>
  <si>
    <r>
      <t>o</t>
    </r>
    <r>
      <rPr>
        <sz val="11"/>
        <rFont val="Arial"/>
        <family val="2"/>
      </rPr>
      <t>C</t>
    </r>
  </si>
  <si>
    <t xml:space="preserve">2. Kelembaban </t>
  </si>
  <si>
    <t>% RH</t>
  </si>
  <si>
    <t>Pemeriksaan Kondisi Fisik dan Fungsi Alat</t>
  </si>
  <si>
    <t>Baik</t>
  </si>
  <si>
    <t>G</t>
  </si>
  <si>
    <t>Arus bocor peralatan untuk peralatan elektromedik kelas I</t>
  </si>
  <si>
    <t>Setting Alat</t>
  </si>
  <si>
    <t xml:space="preserve"> Pembacaan Pada Standar</t>
  </si>
  <si>
    <t>Ketidakpastian pengukuran dilaporkan pada tingkat kepercayaan 95% dengan faktor cakupan k = 2</t>
  </si>
  <si>
    <t>Electrical Safety Analyzer, Merek : Fluke, Model : ESA 615, SN : 4670010</t>
  </si>
  <si>
    <t>Gas Flow Analyzer, Merek : Rigel, Model : Ventest 800, SN : BA200651</t>
  </si>
  <si>
    <t>Oxygen Analyzer, Merek : Maxtec, Model : Max O2, SN : AD26699010</t>
  </si>
  <si>
    <t>Thermohygrolight, Merek : EXTECH, Model : SD700, SN : A.100611</t>
  </si>
  <si>
    <t>Donny Martha</t>
  </si>
  <si>
    <t>IX.</t>
  </si>
  <si>
    <t>Pembuatan Laporan</t>
  </si>
  <si>
    <t>UNCERTAINTY BUDGET</t>
  </si>
  <si>
    <t>%</t>
  </si>
  <si>
    <t>Komponen</t>
  </si>
  <si>
    <t>Satuan</t>
  </si>
  <si>
    <t>Distribusi</t>
  </si>
  <si>
    <t>U</t>
  </si>
  <si>
    <t>Pembagi</t>
  </si>
  <si>
    <t>vi</t>
  </si>
  <si>
    <t>ui</t>
  </si>
  <si>
    <t>ci</t>
  </si>
  <si>
    <t>uici</t>
  </si>
  <si>
    <t>(uici)^2</t>
  </si>
  <si>
    <t>(uici)^4/vi</t>
  </si>
  <si>
    <t>1. Tipe A</t>
  </si>
  <si>
    <t>normal</t>
  </si>
  <si>
    <t>2. Resolusi</t>
  </si>
  <si>
    <t>rect.</t>
  </si>
  <si>
    <t>3. Daya baca standar</t>
  </si>
  <si>
    <t xml:space="preserve">4. Drift standar </t>
  </si>
  <si>
    <t>5. Sertifikat Standar</t>
  </si>
  <si>
    <t>Jumlah</t>
  </si>
  <si>
    <t>Ketidakpastian baku gabungan, Uc</t>
  </si>
  <si>
    <r>
      <t>Uc</t>
    </r>
    <r>
      <rPr>
        <sz val="11"/>
        <rFont val="Times New Roman"/>
        <family val="1"/>
      </rPr>
      <t xml:space="preserve"> = </t>
    </r>
    <r>
      <rPr>
        <sz val="11"/>
        <rFont val="Symbol"/>
        <family val="1"/>
        <charset val="2"/>
      </rPr>
      <t>Ö</t>
    </r>
    <r>
      <rPr>
        <sz val="11"/>
        <rFont val="Times New Roman"/>
        <family val="1"/>
      </rPr>
      <t xml:space="preserve"> [</t>
    </r>
    <r>
      <rPr>
        <sz val="11"/>
        <rFont val="Symbol"/>
        <family val="1"/>
        <charset val="2"/>
      </rPr>
      <t>S</t>
    </r>
    <r>
      <rPr>
        <sz val="11"/>
        <rFont val="Times New Roman"/>
        <family val="1"/>
      </rPr>
      <t>(u</t>
    </r>
    <r>
      <rPr>
        <vertAlign val="subscript"/>
        <sz val="11"/>
        <rFont val="Times New Roman"/>
        <family val="1"/>
      </rPr>
      <t>i</t>
    </r>
    <r>
      <rPr>
        <sz val="11"/>
        <rFont val="Times New Roman"/>
        <family val="1"/>
      </rPr>
      <t xml:space="preserve"> c</t>
    </r>
    <r>
      <rPr>
        <vertAlign val="subscript"/>
        <sz val="11"/>
        <rFont val="Times New Roman"/>
        <family val="1"/>
      </rPr>
      <t>i</t>
    </r>
    <r>
      <rPr>
        <sz val="11"/>
        <rFont val="Times New Roman"/>
        <family val="1"/>
      </rPr>
      <t>)²]</t>
    </r>
  </si>
  <si>
    <t>Derajat kebebasan efektif, veff</t>
  </si>
  <si>
    <r>
      <t>n</t>
    </r>
    <r>
      <rPr>
        <vertAlign val="subscript"/>
        <sz val="11"/>
        <rFont val="Times New Roman"/>
        <family val="1"/>
      </rPr>
      <t>eff</t>
    </r>
    <r>
      <rPr>
        <sz val="11"/>
        <rFont val="Times New Roman"/>
        <family val="1"/>
      </rPr>
      <t xml:space="preserve"> = u</t>
    </r>
    <r>
      <rPr>
        <vertAlign val="subscript"/>
        <sz val="11"/>
        <rFont val="Times New Roman"/>
        <family val="1"/>
      </rPr>
      <t>c</t>
    </r>
    <r>
      <rPr>
        <vertAlign val="superscript"/>
        <sz val="11"/>
        <rFont val="Times New Roman"/>
        <family val="1"/>
      </rPr>
      <t>4</t>
    </r>
    <r>
      <rPr>
        <sz val="11"/>
        <rFont val="Times New Roman"/>
        <family val="1"/>
      </rPr>
      <t xml:space="preserve"> / [</t>
    </r>
    <r>
      <rPr>
        <sz val="11"/>
        <rFont val="Symbol"/>
        <family val="1"/>
        <charset val="2"/>
      </rPr>
      <t>S</t>
    </r>
    <r>
      <rPr>
        <sz val="11"/>
        <rFont val="Times New Roman"/>
        <family val="1"/>
      </rPr>
      <t>(u</t>
    </r>
    <r>
      <rPr>
        <vertAlign val="subscript"/>
        <sz val="11"/>
        <rFont val="Times New Roman"/>
        <family val="1"/>
      </rPr>
      <t>i</t>
    </r>
    <r>
      <rPr>
        <sz val="11"/>
        <rFont val="Times New Roman"/>
        <family val="1"/>
      </rPr>
      <t xml:space="preserve"> c</t>
    </r>
    <r>
      <rPr>
        <vertAlign val="subscript"/>
        <sz val="11"/>
        <rFont val="Times New Roman"/>
        <family val="1"/>
      </rPr>
      <t>i</t>
    </r>
    <r>
      <rPr>
        <sz val="11"/>
        <rFont val="Times New Roman"/>
        <family val="1"/>
      </rPr>
      <t>)</t>
    </r>
    <r>
      <rPr>
        <vertAlign val="superscript"/>
        <sz val="11"/>
        <rFont val="Times New Roman"/>
        <family val="1"/>
      </rPr>
      <t xml:space="preserve"> 4</t>
    </r>
    <r>
      <rPr>
        <sz val="11"/>
        <rFont val="Times New Roman"/>
        <family val="1"/>
      </rPr>
      <t>/</t>
    </r>
    <r>
      <rPr>
        <sz val="11"/>
        <rFont val="Symbol"/>
        <family val="1"/>
        <charset val="2"/>
      </rPr>
      <t>n</t>
    </r>
    <r>
      <rPr>
        <vertAlign val="subscript"/>
        <sz val="11"/>
        <rFont val="Times New Roman"/>
        <family val="1"/>
      </rPr>
      <t>i</t>
    </r>
    <r>
      <rPr>
        <sz val="11"/>
        <rFont val="Times New Roman"/>
        <family val="1"/>
      </rPr>
      <t>]</t>
    </r>
  </si>
  <si>
    <t>Faktor cakupan, k-student's for veff and CL 95%</t>
  </si>
  <si>
    <t>k</t>
  </si>
  <si>
    <t>Ketidakpastian bentangan, U = k.Uc</t>
  </si>
  <si>
    <t>U = k. Uc</t>
  </si>
  <si>
    <t>Flow</t>
  </si>
  <si>
    <t>l/min</t>
  </si>
  <si>
    <t>1. Repeatibility</t>
  </si>
  <si>
    <t>Hasil Kalibrasi HFNC</t>
  </si>
  <si>
    <t xml:space="preserve">    </t>
  </si>
  <si>
    <t>Score</t>
  </si>
  <si>
    <t>Koreksi</t>
  </si>
  <si>
    <t>Ketidakpastian Pengukuran</t>
  </si>
  <si>
    <t>(| C |)</t>
  </si>
  <si>
    <t>(| C |) (%)</t>
  </si>
  <si>
    <t>Score Akhir</t>
  </si>
  <si>
    <t>Status Akhir</t>
  </si>
  <si>
    <t>Nama</t>
  </si>
  <si>
    <t>Paraf</t>
  </si>
  <si>
    <t>Penyelia :</t>
  </si>
  <si>
    <t>Menyetujui,</t>
  </si>
  <si>
    <t>Choirul Huda, S.Tr. Kes</t>
  </si>
  <si>
    <t>Halaman 2 dari 2 halaman</t>
  </si>
  <si>
    <t>NIP 198008062010121001</t>
  </si>
  <si>
    <t>Kepala Instalasi Laboratorium</t>
  </si>
  <si>
    <t>Pengujian dan Kalibrasi</t>
  </si>
  <si>
    <t>Koordinator Laboratorium</t>
  </si>
  <si>
    <t>Flow dan Volume</t>
  </si>
  <si>
    <t>INPUT SERTIFIKAT THERMOHYGROMETER</t>
  </si>
  <si>
    <t>KOREKSI KIMO THERMOHYGROMETER 15062873</t>
  </si>
  <si>
    <t>U95</t>
  </si>
  <si>
    <t>Suhu</t>
  </si>
  <si>
    <t>Tahun</t>
  </si>
  <si>
    <t>DRIFT</t>
  </si>
  <si>
    <t>Kelembaban</t>
  </si>
  <si>
    <t>Tekanan</t>
  </si>
  <si>
    <t>hPa</t>
  </si>
  <si>
    <t>-</t>
  </si>
  <si>
    <t>KOREKSI KIMO THERMOHYGROMETER 15062874</t>
  </si>
  <si>
    <t>KOREKSI KIMO THERMOHYGROMETER 14082463</t>
  </si>
  <si>
    <t>KOREKSI KIMO THERMOHYGROMETER 15062872</t>
  </si>
  <si>
    <t>KOREKSI KIMO THERMOHYGROMETER 15062875</t>
  </si>
  <si>
    <t>KOREKSI GREISINGER 34903046</t>
  </si>
  <si>
    <t>KOREKSI GREISINGER 34903053</t>
  </si>
  <si>
    <t>KOREKSI GREISINGER 34903051</t>
  </si>
  <si>
    <t>KOREKSI GREISINGER 34904091</t>
  </si>
  <si>
    <t>KOREKSI Sekonic HE-21.000669</t>
  </si>
  <si>
    <t>KOREKSI Sekonic HE-21.000670</t>
  </si>
  <si>
    <t>KOREKSI EXTECH A.100586</t>
  </si>
  <si>
    <t>KOREKSI EXTECH A.100605</t>
  </si>
  <si>
    <t>KOREKSI EXTECH A.100609</t>
  </si>
  <si>
    <t>KOREKSI EXTECH A.100611</t>
  </si>
  <si>
    <t>KOREKSI EXTECH A.100616</t>
  </si>
  <si>
    <t>KOREKSI EXTECH A.100617</t>
  </si>
  <si>
    <t>KOREKSI EXTECH A.100618</t>
  </si>
  <si>
    <t>No urut alat</t>
  </si>
  <si>
    <t>KOREKSI THERMOHYGROMETER</t>
  </si>
  <si>
    <t>Rata-rata standar</t>
  </si>
  <si>
    <t>Rata-rata Terkoreksi</t>
  </si>
  <si>
    <t>STDEV</t>
  </si>
  <si>
    <t>HASIL</t>
  </si>
  <si>
    <t>Konversi TEXT</t>
  </si>
  <si>
    <t xml:space="preserve"> °C</t>
  </si>
  <si>
    <t xml:space="preserve"> %RH</t>
  </si>
  <si>
    <t>Thermohygrolight, Merek : KIMO, Model : KH-210-AO, SN : 14082463</t>
  </si>
  <si>
    <t xml:space="preserve"> hPa</t>
  </si>
  <si>
    <t xml:space="preserve">( </t>
  </si>
  <si>
    <t xml:space="preserve"> ± </t>
  </si>
  <si>
    <t xml:space="preserve"> )</t>
  </si>
  <si>
    <t>Thermohygrolight, Merek : Greisinger, Model : GFTB 200, SN : 34903046</t>
  </si>
  <si>
    <t>Thermohygrolight, Merek : Greisinger, Model : GFTB 200, SN : 34903053</t>
  </si>
  <si>
    <t>Thermohygrolight, Merek : Greisinger, Model : GFTB 200, SN : 34903051</t>
  </si>
  <si>
    <t>Thermohygrolight, Merek : Greisinger, Model : GFTB 200, SN : 34904091</t>
  </si>
  <si>
    <t>Thermohygrolight, Merek : Sekonic, Model : ST-50A, SN : HE-21.000669</t>
  </si>
  <si>
    <t>Thermohygrolight, Merek : Sekonic, Model : ST-50A, SN : HE-21.000670</t>
  </si>
  <si>
    <t>Thermohygrolight, Merek : EXTECH, Model : SD700, SN : A.100586</t>
  </si>
  <si>
    <t>Thermohygrolight, Merek : EXTECH, Model : SD700, SN : A.100605</t>
  </si>
  <si>
    <t>Thermohygrolight, Merek : EXTECH, Model : SD700, SN : A.100609</t>
  </si>
  <si>
    <t>Thermohygrolight, Merek : EXTECH, Model : SD700, SN : A.100616</t>
  </si>
  <si>
    <t>Thermohygrolight, Merek : EXTECH, Model : SD700, SN : A.100617</t>
  </si>
  <si>
    <t>Thermohygrolight, Merek : EXTECH, Model : SD700, SN : A.100618</t>
  </si>
  <si>
    <t>INPUT DATA SERTIFIKAT ESA</t>
  </si>
  <si>
    <t>A</t>
  </si>
  <si>
    <t>ESA 620 (1837056)</t>
  </si>
  <si>
    <t>B</t>
  </si>
  <si>
    <t>ESA 620 (1834020)</t>
  </si>
  <si>
    <t>C</t>
  </si>
  <si>
    <t>ESA 615 (2853077)</t>
  </si>
  <si>
    <t>KOREKSI ESA</t>
  </si>
  <si>
    <t>Setting VAC</t>
  </si>
  <si>
    <t>Driff</t>
  </si>
  <si>
    <t>( V )</t>
  </si>
  <si>
    <t>Current Leakage</t>
  </si>
  <si>
    <t>( uA )</t>
  </si>
  <si>
    <t>Main-PE</t>
  </si>
  <si>
    <t>Resistance</t>
  </si>
  <si>
    <t>D</t>
  </si>
  <si>
    <t>ESA 615 (2853078)</t>
  </si>
  <si>
    <t>E</t>
  </si>
  <si>
    <t>ESA 615 (3148907)</t>
  </si>
  <si>
    <t>F</t>
  </si>
  <si>
    <t>ESA 615 (3148908)</t>
  </si>
  <si>
    <t>ESA 615 (3699030)</t>
  </si>
  <si>
    <t>H</t>
  </si>
  <si>
    <t>ESA 615 (4669058)</t>
  </si>
  <si>
    <t>ESA 615 (4670010)</t>
  </si>
  <si>
    <t>J</t>
  </si>
  <si>
    <t>K</t>
  </si>
  <si>
    <t>L</t>
  </si>
  <si>
    <t>No. Urut</t>
  </si>
  <si>
    <t>VI</t>
  </si>
  <si>
    <t>Pembacaan terkoreksi</t>
  </si>
  <si>
    <t>Hasil</t>
  </si>
  <si>
    <t>NO</t>
  </si>
  <si>
    <t>NC</t>
  </si>
  <si>
    <t>Resistansi pembumian protektif</t>
  </si>
  <si>
    <t>Electrical Safety Analyzer, Merek : Fluke, Model : ESA 615, SN : 2853077</t>
  </si>
  <si>
    <t>Electrical Safety Analyzer, Merek : Fluke, Model : ESA 615, SN : 3148908</t>
  </si>
  <si>
    <t>Electrical Safety Analyzer, Merek : Fluke, Model : ESA 615, SN : 3699030</t>
  </si>
  <si>
    <t>Electrical Safety Analyzer, Merek : Fluke, Model : ESA 615, SN : 4669058</t>
  </si>
  <si>
    <t>Electrical Safety Analyzer 11</t>
  </si>
  <si>
    <t>Electrical Safety Analyzer 12</t>
  </si>
  <si>
    <t>Arus bocor peralatan untuk peralatan elektromedik kelas II</t>
  </si>
  <si>
    <t>NG</t>
  </si>
  <si>
    <t>Tidak terdapat grounding di ruangan</t>
  </si>
  <si>
    <t>Alat tidak boleh digunakan pada instalasi tanpa dilengkapi grounding</t>
  </si>
  <si>
    <t>INPUT SERTIFIKAT FLOW ANALYZER</t>
  </si>
  <si>
    <t>1. KOREKSI VT305 BF100519</t>
  </si>
  <si>
    <t>U95    STD</t>
  </si>
  <si>
    <t>3. KOREKSI PF-300 BA101580</t>
  </si>
  <si>
    <t>5. KOREKSI VT305 BF102163</t>
  </si>
  <si>
    <t>Setting Flow</t>
  </si>
  <si>
    <t>( l/min )</t>
  </si>
  <si>
    <t>2. KOREKSI VT Plus HF 2847038</t>
  </si>
  <si>
    <t>4. KOREKSI PF-300 BA120302</t>
  </si>
  <si>
    <t>6. KOREKSI VT305 BF102142</t>
  </si>
  <si>
    <t>7. KOREKSI RIGEL BA120986</t>
  </si>
  <si>
    <t>8. KOREKSI RIGEL BA120987</t>
  </si>
  <si>
    <t>9. KOREKSI RIGEL BA200651</t>
  </si>
  <si>
    <t>U95 STD</t>
  </si>
  <si>
    <t>Kesalahan</t>
  </si>
  <si>
    <t>Kesalahan Relatif (%)</t>
  </si>
  <si>
    <t>(| U |) (%)</t>
  </si>
  <si>
    <t>(| C |+| U |) (%)</t>
  </si>
  <si>
    <t>Drift</t>
  </si>
  <si>
    <t>Daya baca UUT</t>
  </si>
  <si>
    <t>Daya baca standar</t>
  </si>
  <si>
    <t>Choirul Huda</t>
  </si>
  <si>
    <t>Rangga Setya Hantoko</t>
  </si>
  <si>
    <t>Hamdan Syarif</t>
  </si>
  <si>
    <t>Isra Mahensa</t>
  </si>
  <si>
    <t>Muhammad Zaenuri Sugiasmoro</t>
  </si>
  <si>
    <t>Muhammad Arrizal Septiawan</t>
  </si>
  <si>
    <t>Hary Ernanto</t>
  </si>
  <si>
    <t>Gusti Arya Dinata</t>
  </si>
  <si>
    <t>Muhammad Irfan Husnuzhzhan</t>
  </si>
  <si>
    <t>Fatimah Novrianisa</t>
  </si>
  <si>
    <t>Taufik Priawan</t>
  </si>
  <si>
    <t>Septia Khairunnisa</t>
  </si>
  <si>
    <t>Muhammad Iqbal Saiful Rahman</t>
  </si>
  <si>
    <t>Wardimanul Abrar</t>
  </si>
  <si>
    <t>Venna Filosofia</t>
  </si>
  <si>
    <t>Muhammad Alpian Hadi</t>
  </si>
  <si>
    <t>Ryan Rama Chaesar R</t>
  </si>
  <si>
    <t>Siti Fathul Jannah</t>
  </si>
  <si>
    <t>Tidak Baik</t>
  </si>
  <si>
    <t>Pembacaan skala diatas bola</t>
  </si>
  <si>
    <t>Pembacaan skala ditengah bola</t>
  </si>
  <si>
    <t>Pembacaan skala dibawah bola</t>
  </si>
  <si>
    <t>Gas Flow Analyzer, Merek : IMT Medical, Model : PF-300, SN : BA120302</t>
  </si>
  <si>
    <t>Gas Flow Analyzer, Merek : Fluke, Model : VT Plus HF, SN : 2847038</t>
  </si>
  <si>
    <t>Gas Flow Analyzer, Merek : Fluke, Model : VT305, SN : BF102163</t>
  </si>
  <si>
    <t>Gas Flow Analyzer, Merek : Fluke, Model : VT305, SN : BF102142</t>
  </si>
  <si>
    <t>Gas Flow Analyzer, Merek : Rigel, Model : Ventest 800, SN : BA120986</t>
  </si>
  <si>
    <t>Gas Flow Analyzer, Merek : Rigel, Model : Ventest 800, SN : BA120987</t>
  </si>
  <si>
    <t>Oxygen Analyzer, Merek : Maxtec, Model : Max O2, SN : ZE92799014</t>
  </si>
  <si>
    <t>Oxygen Analyzer, Merek : Maxtec, Model : Max O2, SN : FJ32099002</t>
  </si>
  <si>
    <t>Oxygen Analyzer, Merek : Maxtec, Model : Max O2, SN : FJ32099004</t>
  </si>
  <si>
    <t>Oxygen Analyzer, Merek : Maxtec, Model : Max O2, SN : FJ34299001</t>
  </si>
  <si>
    <t>Nilai</t>
  </si>
  <si>
    <t>Status</t>
  </si>
  <si>
    <t>KESIMPULAN PENGUJIAN KINERJA</t>
  </si>
  <si>
    <t xml:space="preserve">Score Total </t>
  </si>
  <si>
    <t>Kelas I</t>
  </si>
  <si>
    <t>Input NC</t>
  </si>
  <si>
    <t>Terkoreksi</t>
  </si>
  <si>
    <t>Arus Bocor</t>
  </si>
  <si>
    <t>Instalasi</t>
  </si>
  <si>
    <t>Resistansi Pembumian Protektif (kabel dapat dilepas)</t>
  </si>
  <si>
    <t>(kabel dapat dilepas)</t>
  </si>
  <si>
    <t>Resistansi Pembumian Protektif (kabel tidak dapat dilepas)</t>
  </si>
  <si>
    <t>(kabel tidak dapat dilepas)</t>
  </si>
  <si>
    <r>
      <t>( M</t>
    </r>
    <r>
      <rPr>
        <sz val="11"/>
        <rFont val="Calibri"/>
        <family val="2"/>
      </rPr>
      <t>Ω</t>
    </r>
    <r>
      <rPr>
        <i/>
        <sz val="11"/>
        <rFont val="Times New Roman"/>
        <family val="1"/>
      </rPr>
      <t xml:space="preserve"> )</t>
    </r>
  </si>
  <si>
    <r>
      <t xml:space="preserve">( </t>
    </r>
    <r>
      <rPr>
        <sz val="11"/>
        <rFont val="Calibri"/>
        <family val="2"/>
      </rPr>
      <t>Ω</t>
    </r>
    <r>
      <rPr>
        <i/>
        <sz val="11"/>
        <rFont val="Times New Roman"/>
        <family val="1"/>
      </rPr>
      <t xml:space="preserve"> )</t>
    </r>
  </si>
  <si>
    <t>Koreksi Tegangan Jala jala</t>
  </si>
  <si>
    <t>Koreksi Resistansi Isolasi</t>
  </si>
  <si>
    <t>Koreksi Resistansi Pembumian</t>
  </si>
  <si>
    <t>Koreksi Arus Bocor (NO)</t>
  </si>
  <si>
    <t>Koreksi Arus bocor (NC)</t>
  </si>
  <si>
    <t>U95 Jala-jala</t>
  </si>
  <si>
    <t xml:space="preserve"> Volt</t>
  </si>
  <si>
    <t>Electrical Safety Analyzer, Merek : Fluke, Model : ESA 620, SN : 1837056</t>
  </si>
  <si>
    <t>Electrical Safety Analyzer, Merek : Fluke, Model : ESA 620, SN : 1834020</t>
  </si>
  <si>
    <t>Electrical Safety Analyzer, Merek : Fluke, Model : ESA 615, SN : 2853078</t>
  </si>
  <si>
    <t>Electrical Safety Analyzer, Merek : Fluke, Model : ESA 615, SN : 3148907</t>
  </si>
  <si>
    <t>Electrical Safety Analyzer, Merek : Fluke, Model : ESA 615, SN : --</t>
  </si>
  <si>
    <t>10. KOREKSI VT900A 5101035-5102036</t>
  </si>
  <si>
    <t>11. KOREKSI VT900A 5101752-5102038</t>
  </si>
  <si>
    <t>Sertifikat</t>
  </si>
  <si>
    <t>new</t>
  </si>
  <si>
    <t>mid</t>
  </si>
  <si>
    <t>old</t>
  </si>
  <si>
    <t>Koreksi Flow</t>
  </si>
  <si>
    <t>U95 Standar</t>
  </si>
  <si>
    <t>Resolusi Standar</t>
  </si>
  <si>
    <t>Hasil U95</t>
  </si>
  <si>
    <t>MAX</t>
  </si>
  <si>
    <t>Decimal</t>
  </si>
  <si>
    <t>HASIL 2-SD</t>
  </si>
  <si>
    <t>Azhar Alamsyah</t>
  </si>
  <si>
    <t>Dewi Nofitasari</t>
  </si>
  <si>
    <t>Muhammad Ihsan Ilyas</t>
  </si>
  <si>
    <t>Sholihatussa'diah</t>
  </si>
  <si>
    <t>Vikki Akhsanudin Nurkholis</t>
  </si>
  <si>
    <t>Yurdha Algifari</t>
  </si>
  <si>
    <t>Hasil kalibrasi flow tertelusur ke Satuan Internasional ( SI ) melalui PT. CALTEK PTE LTD</t>
  </si>
  <si>
    <t>Hasil kalibrasi flow tertelusur ke Satuan Internasional ( SI ) melalui IMT Medical</t>
  </si>
  <si>
    <t>Hasil kalibrasi flow tertelusur ke Satuan Internasional ( SI ) melalui Fluke Biomedical</t>
  </si>
  <si>
    <t>Gas Flow Analyzer, Merek : Fluke, Model : VT900A, SN : 5101035-5102036</t>
  </si>
  <si>
    <t>Gas Flow Analyzer, Merek : Fluke, Model : VT900A, SN : 5101752-5102038</t>
  </si>
  <si>
    <t>Alat yang dikalibrasi dalam batas toleransi dan dinyatakan LAIK PAKAI, dimana hasil atau skor akhir sama dengan atau melampaui 70% berdasarkan Keputusan Direktur Jenderal Pelayanan Kesehatan No : HK.02.02/V/0412/2020.</t>
  </si>
  <si>
    <t>Alat yang dikalibrasi melebihi batas toleransi dan dinyatakan TIDAK LAIK PAKAI, dimana hasil atau skor akhir dibawah 70% berdasarkan Keputusan Direktur Jenderal Pelayanan Kesehatan No : HK.02.02/V/0412/2020.</t>
  </si>
  <si>
    <t>±</t>
  </si>
  <si>
    <t>23 Agustus 2023</t>
  </si>
  <si>
    <t>Update Sertifikat VT900 SN 752 &amp; 035</t>
  </si>
  <si>
    <t>Sudah Ter Update</t>
  </si>
  <si>
    <t>Donny</t>
  </si>
  <si>
    <t>Oleh</t>
  </si>
  <si>
    <t>Rev 2:</t>
  </si>
  <si>
    <t>30.8.2023</t>
  </si>
  <si>
    <t>Farid Wajidi, SKM</t>
  </si>
  <si>
    <t>NIP 196712101990031012</t>
  </si>
  <si>
    <t>1 / I - 23 / E - 001.01 DL</t>
  </si>
  <si>
    <t>NICU</t>
  </si>
  <si>
    <t>PICU</t>
  </si>
  <si>
    <r>
      <rPr>
        <sz val="11"/>
        <rFont val="Calibri"/>
        <family val="2"/>
      </rPr>
      <t>°</t>
    </r>
    <r>
      <rPr>
        <i/>
        <sz val="11"/>
        <rFont val="Times New Roman"/>
        <family val="1"/>
      </rPr>
      <t>C</t>
    </r>
  </si>
  <si>
    <t>KOREKSI EXTECH A.100615</t>
  </si>
  <si>
    <r>
      <rPr>
        <sz val="11"/>
        <rFont val="Times New Roman"/>
        <family val="1"/>
      </rPr>
      <t>°</t>
    </r>
    <r>
      <rPr>
        <i/>
        <sz val="11"/>
        <rFont val="Times New Roman"/>
        <family val="1"/>
      </rPr>
      <t>C</t>
    </r>
  </si>
  <si>
    <t>Koreksi Suhu</t>
  </si>
  <si>
    <t>Koreksi Kelembaban</t>
  </si>
  <si>
    <t>Koreksi tekanan</t>
  </si>
  <si>
    <t>Thermohygrolight, Merek : KIMO, Model : KH-210-AO, SN : 15062873</t>
  </si>
  <si>
    <t>Thermohygrolight, Merek : KIMO, Model : KH-210-AO, SN : 15062874</t>
  </si>
  <si>
    <t>Thermohygrolight, Merek : KIMO, Model : KH-210-AO, SN : 15062872</t>
  </si>
  <si>
    <t>Thermohygrolight, Merek : KIMO, Model : KH-210-AO, SN : 15062875</t>
  </si>
  <si>
    <t>Thermohygrolight, Merek : EXTECH, Model : SD700, SN : A.100615</t>
  </si>
  <si>
    <t>°C</t>
  </si>
  <si>
    <t>Tegangan Jala-Jala</t>
  </si>
  <si>
    <t>Arus Bocor (NO)</t>
  </si>
  <si>
    <t>MΩ</t>
  </si>
  <si>
    <t>U95 Jala-Jala</t>
  </si>
  <si>
    <t>SERTIFIKAT KALIBRASI</t>
  </si>
  <si>
    <t xml:space="preserve">                                                                 </t>
  </si>
  <si>
    <t>FV.047-18</t>
  </si>
  <si>
    <t xml:space="preserve">Nama Alat            : </t>
  </si>
  <si>
    <t xml:space="preserve">Nomor Order           : </t>
  </si>
  <si>
    <t>Model / Tipe</t>
  </si>
  <si>
    <t>Nomor Seri</t>
  </si>
  <si>
    <t>Nama Pemilik      :</t>
  </si>
  <si>
    <t xml:space="preserve">Identitas Pemilik     : </t>
  </si>
  <si>
    <t>Alamat Pemilik</t>
  </si>
  <si>
    <t>Jalan ABC</t>
  </si>
  <si>
    <t>Banjarbaru,</t>
  </si>
  <si>
    <t>Kepala Loka Pengamanan</t>
  </si>
  <si>
    <t>Fasilitas Kesehatan Banjarbaru</t>
  </si>
  <si>
    <t>Yuni Irmawati, SKM., MA</t>
  </si>
  <si>
    <t>NIP 197806222002122001</t>
  </si>
  <si>
    <t>NOMOR ORDER</t>
  </si>
  <si>
    <t>KUNCI KOP SERTIFIKAT</t>
  </si>
  <si>
    <t>PENENTU KOP SERTIFIKAT</t>
  </si>
  <si>
    <t>BAHAN</t>
  </si>
  <si>
    <t>SERTIFIKAT PENGUJIAN</t>
  </si>
  <si>
    <t>BAHAN RUANGAN &amp; PENANGGUNG JAWAB</t>
  </si>
  <si>
    <t>NAMA RUANGAN PADA INPUT DATA</t>
  </si>
  <si>
    <t>Laboratorium Kalibrasi LPFK Banjarbaru</t>
  </si>
  <si>
    <t>MENAMBAH 1 TAHUN SEBELUMNYA</t>
  </si>
  <si>
    <t>MERUBAH DARI ANGKA KE HURUF</t>
  </si>
  <si>
    <t>HASIL KALIBRASI</t>
  </si>
  <si>
    <t>BAHAN GABUNGAN</t>
  </si>
  <si>
    <t xml:space="preserve">Laik Pakai, disarankan untuk dikalibrasi ulang pada tanggal </t>
  </si>
  <si>
    <t xml:space="preserve">Laik Pakai, disarankan untuk diuji ulang pada tanggal </t>
  </si>
  <si>
    <t>E - 001.01 DL</t>
  </si>
  <si>
    <t>Konversi mL/min to L/min</t>
  </si>
  <si>
    <t>Setting</t>
  </si>
  <si>
    <t>FORECAST</t>
  </si>
  <si>
    <t>Jika drift nol</t>
  </si>
  <si>
    <t>Dibuat :</t>
  </si>
  <si>
    <t>Gas Flow Analyzer, Merek : Fluke, Model : VT305, SN : BF100519</t>
  </si>
  <si>
    <t>Gas Flow Analyzer, Merek : IMT Medical, Model : PF-300, SN : BA101580</t>
  </si>
  <si>
    <t>Gas Flow Analyzer, Merek : Rigel, Model :-, SN : -</t>
  </si>
  <si>
    <t>04/01/2023</t>
  </si>
  <si>
    <t>Nomor Sertifikat : 76 /</t>
  </si>
  <si>
    <t>Nomor Surat Keterangan : 76 / M -</t>
  </si>
  <si>
    <t>HIGH FLOW NASAL CANNULA</t>
  </si>
  <si>
    <t>Forecast Interpolasi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</si>
</sst>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7">
    <numFmt numFmtId="164" formatCode="0.000"/>
    <numFmt numFmtId="165" formatCode="0.0"/>
    <numFmt numFmtId="166" formatCode="0.00000"/>
    <numFmt numFmtId="167" formatCode="0.0000"/>
    <numFmt numFmtId="168" formatCode="0.0\ \ \ \±"/>
    <numFmt numFmtId="169" formatCode="\±\ 0.0"/>
    <numFmt numFmtId="170" formatCode="[$-421]dd\ mmmm\ yyyy;@"/>
    <numFmt numFmtId="171" formatCode="\±\ 0\ &quot;%&quot;"/>
    <numFmt numFmtId="172" formatCode="\≤\ 0\ "/>
    <numFmt numFmtId="173" formatCode="\ \±\ 0\ &quot;%&quot;"/>
    <numFmt numFmtId="174" formatCode="0&quot;%&quot;"/>
    <numFmt numFmtId="175" formatCode="0\ &quot;LPM&quot;"/>
    <numFmt numFmtId="176" formatCode="0.000\ &quot;Ω&quot;"/>
    <numFmt numFmtId="177" formatCode="0.0\ &quot;µA&quot;"/>
    <numFmt numFmtId="178" formatCode="0\ &quot;MΩ&quot;"/>
    <numFmt numFmtId="179" formatCode="\±\ 0.00"/>
    <numFmt numFmtId="180" formatCode="\&gt;\ 0"/>
    <numFmt numFmtId="181" formatCode="\≤\ 0"/>
    <numFmt numFmtId="182" formatCode="\≤\ 0.0"/>
    <numFmt numFmtId="183" formatCode="0\ &quot;L/min&quot;"/>
    <numFmt numFmtId="184" formatCode="\≤\ 0\ \µ\A"/>
    <numFmt numFmtId="185" formatCode="\≤\ 0.0\ &quot;Ω&quot;"/>
    <numFmt numFmtId="186" formatCode="\≤\ 0.0\ \Ω"/>
    <numFmt numFmtId="187" formatCode="0.000000"/>
    <numFmt numFmtId="188" formatCode="dd/mm/yyyy;@"/>
    <numFmt numFmtId="189" formatCode="0.0000000000"/>
    <numFmt numFmtId="190" formatCode="[$-C09]d\ mmmm\ yyyy;@"/>
  </numFmts>
  <fonts count="87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b/>
      <sz val="10"/>
      <name val="Arial"/>
      <family val="2"/>
    </font>
    <font>
      <sz val="12"/>
      <name val="Calibri"/>
      <family val="2"/>
      <scheme val="minor"/>
    </font>
    <font>
      <b/>
      <i/>
      <sz val="10"/>
      <name val="Arial"/>
      <family val="2"/>
    </font>
    <font>
      <vertAlign val="superscript"/>
      <sz val="11"/>
      <name val="Times New Roman"/>
      <family val="1"/>
    </font>
    <font>
      <b/>
      <sz val="8"/>
      <name val="Arial"/>
      <family val="2"/>
    </font>
    <font>
      <b/>
      <i/>
      <sz val="11"/>
      <name val="Times New Roman"/>
      <family val="1"/>
    </font>
    <font>
      <vertAlign val="subscript"/>
      <sz val="11"/>
      <name val="Times New Roman"/>
      <family val="1"/>
    </font>
    <font>
      <sz val="11"/>
      <name val="Symbol"/>
      <family val="1"/>
      <charset val="2"/>
    </font>
    <font>
      <sz val="12"/>
      <name val="Times New Roman"/>
      <family val="1"/>
    </font>
    <font>
      <b/>
      <sz val="8"/>
      <name val="Times New Roman"/>
      <family val="1"/>
    </font>
    <font>
      <sz val="8"/>
      <name val="Times New Roman"/>
      <family val="1"/>
    </font>
    <font>
      <b/>
      <i/>
      <sz val="10"/>
      <name val="Times New Roman"/>
      <family val="1"/>
    </font>
    <font>
      <b/>
      <sz val="9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u/>
      <sz val="14"/>
      <name val="Arial"/>
      <family val="2"/>
    </font>
    <font>
      <b/>
      <u/>
      <sz val="12"/>
      <name val="Arial"/>
      <family val="2"/>
    </font>
    <font>
      <sz val="13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vertAlign val="superscript"/>
      <sz val="10"/>
      <name val="Arial"/>
      <family val="2"/>
    </font>
    <font>
      <u/>
      <sz val="10"/>
      <name val="Arial"/>
      <family val="2"/>
    </font>
    <font>
      <u/>
      <sz val="11"/>
      <name val="Arial"/>
      <family val="2"/>
    </font>
    <font>
      <i/>
      <sz val="12"/>
      <name val="Arial"/>
      <family val="2"/>
    </font>
    <font>
      <i/>
      <sz val="10"/>
      <name val="Arial"/>
      <family val="2"/>
    </font>
    <font>
      <i/>
      <sz val="8"/>
      <name val="Arial"/>
      <family val="2"/>
    </font>
    <font>
      <vertAlign val="superscript"/>
      <sz val="11"/>
      <name val="Arial"/>
      <family val="2"/>
    </font>
    <font>
      <sz val="10"/>
      <name val="Calibri"/>
      <family val="2"/>
    </font>
    <font>
      <u/>
      <sz val="12"/>
      <name val="Arial"/>
      <family val="2"/>
    </font>
    <font>
      <sz val="12"/>
      <name val="Calibri"/>
      <family val="2"/>
    </font>
    <font>
      <sz val="10"/>
      <name val="Times New Roman"/>
      <family val="1"/>
      <charset val="1"/>
    </font>
    <font>
      <sz val="10"/>
      <name val="Arial"/>
      <family val="2"/>
      <charset val="1"/>
    </font>
    <font>
      <b/>
      <sz val="16"/>
      <name val="Arial"/>
      <family val="2"/>
    </font>
    <font>
      <sz val="9"/>
      <name val="Arial"/>
      <family val="2"/>
    </font>
    <font>
      <b/>
      <i/>
      <u/>
      <sz val="12"/>
      <name val="Arial"/>
      <family val="2"/>
    </font>
    <font>
      <b/>
      <i/>
      <sz val="12"/>
      <name val="Arial"/>
      <family val="2"/>
    </font>
    <font>
      <b/>
      <i/>
      <sz val="11"/>
      <name val="Arial"/>
      <family val="2"/>
    </font>
    <font>
      <sz val="10"/>
      <color theme="0"/>
      <name val="Arial"/>
      <family val="2"/>
      <charset val="1"/>
    </font>
    <font>
      <sz val="10"/>
      <color theme="0"/>
      <name val="Times New Roman"/>
      <family val="1"/>
      <charset val="1"/>
    </font>
    <font>
      <sz val="8"/>
      <color theme="0"/>
      <name val="Times New Roman"/>
      <family val="1"/>
      <charset val="1"/>
    </font>
    <font>
      <sz val="11"/>
      <color rgb="FFFF0000"/>
      <name val="Arial"/>
      <family val="2"/>
    </font>
    <font>
      <sz val="10"/>
      <color rgb="FFFF0000"/>
      <name val="Arial"/>
      <family val="2"/>
    </font>
    <font>
      <sz val="13"/>
      <color rgb="FFFF0000"/>
      <name val="Arial"/>
      <family val="2"/>
    </font>
    <font>
      <sz val="12"/>
      <color rgb="FFFF0000"/>
      <name val="Arial"/>
      <family val="2"/>
    </font>
    <font>
      <b/>
      <sz val="18"/>
      <name val="Arial"/>
      <family val="2"/>
    </font>
    <font>
      <sz val="11"/>
      <color theme="0" tint="-0.249977111117893"/>
      <name val="Arial"/>
      <family val="2"/>
    </font>
    <font>
      <u/>
      <sz val="14"/>
      <name val="Arial"/>
      <family val="2"/>
    </font>
    <font>
      <sz val="28"/>
      <name val="Arial"/>
      <family val="2"/>
    </font>
    <font>
      <i/>
      <sz val="11"/>
      <name val="Times New Roman"/>
      <family val="1"/>
    </font>
    <font>
      <sz val="11"/>
      <name val="Calibri"/>
      <family val="2"/>
    </font>
    <font>
      <sz val="8"/>
      <color theme="1"/>
      <name val="Calibri"/>
      <family val="2"/>
      <scheme val="minor"/>
    </font>
    <font>
      <sz val="14"/>
      <name val="Times New Roman"/>
      <family val="1"/>
    </font>
    <font>
      <i/>
      <sz val="11"/>
      <name val="Arial"/>
      <family val="2"/>
    </font>
    <font>
      <sz val="10"/>
      <color theme="1" tint="0.499984740745262"/>
      <name val="Arial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0"/>
      <name val="Times New Roman"/>
      <family val="1"/>
    </font>
    <font>
      <b/>
      <sz val="9"/>
      <name val="Times New Roman"/>
      <family val="1"/>
    </font>
    <font>
      <b/>
      <u/>
      <sz val="24"/>
      <name val="Times New Roman"/>
      <family val="1"/>
    </font>
    <font>
      <sz val="10"/>
      <color theme="1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sz val="9"/>
      <name val="Calibri"/>
      <family val="2"/>
      <scheme val="minor"/>
    </font>
    <font>
      <b/>
      <sz val="11"/>
      <color theme="1"/>
      <name val="Times New Roman"/>
      <family val="1"/>
    </font>
    <font>
      <b/>
      <sz val="1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5" tint="-0.249977111117893"/>
      <name val="Arial"/>
      <family val="2"/>
    </font>
    <font>
      <sz val="11"/>
      <color theme="1"/>
      <name val="Times New Roman"/>
      <family val="1"/>
    </font>
    <font>
      <sz val="11"/>
      <color theme="5" tint="-0.249977111117893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rgb="FFFF0000"/>
      <name val="Times New Roman"/>
      <family val="1"/>
    </font>
    <font>
      <b/>
      <sz val="9"/>
      <color theme="0"/>
      <name val="Times New Roman"/>
      <family val="1"/>
    </font>
    <font>
      <sz val="9"/>
      <color theme="0"/>
      <name val="Times New Roman"/>
      <family val="1"/>
    </font>
    <font>
      <b/>
      <sz val="12"/>
      <name val="Times New Roman"/>
      <family val="1"/>
    </font>
    <font>
      <sz val="9"/>
      <name val="Times New Roman"/>
      <family val="1"/>
    </font>
    <font>
      <sz val="11"/>
      <name val="Calibri"/>
      <family val="2"/>
      <scheme val="minor"/>
    </font>
    <font>
      <b/>
      <i/>
      <sz val="10"/>
      <name val="Calibri"/>
      <family val="2"/>
    </font>
    <font>
      <b/>
      <sz val="10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1"/>
        <bgColor indexed="64"/>
      </patternFill>
    </fill>
  </fills>
  <borders count="81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hair">
        <color indexed="64"/>
      </bottom>
      <diagonal/>
    </border>
    <border>
      <left/>
      <right/>
      <top/>
      <bottom style="dotted">
        <color auto="1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auto="1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</cellStyleXfs>
  <cellXfs count="1177">
    <xf numFmtId="0" fontId="0" fillId="0" borderId="0" xfId="0"/>
    <xf numFmtId="0" fontId="2" fillId="2" borderId="0" xfId="0" applyFont="1" applyFill="1"/>
    <xf numFmtId="0" fontId="0" fillId="2" borderId="0" xfId="0" applyFill="1"/>
    <xf numFmtId="0" fontId="2" fillId="2" borderId="16" xfId="2" applyFill="1" applyBorder="1"/>
    <xf numFmtId="0" fontId="8" fillId="2" borderId="17" xfId="2" applyFont="1" applyFill="1" applyBorder="1" applyAlignment="1">
      <alignment horizontal="center"/>
    </xf>
    <xf numFmtId="0" fontId="13" fillId="2" borderId="15" xfId="2" applyFont="1" applyFill="1" applyBorder="1" applyAlignment="1">
      <alignment horizontal="center"/>
    </xf>
    <xf numFmtId="0" fontId="13" fillId="2" borderId="16" xfId="2" applyFont="1" applyFill="1" applyBorder="1" applyAlignment="1">
      <alignment horizontal="center"/>
    </xf>
    <xf numFmtId="2" fontId="13" fillId="2" borderId="16" xfId="2" applyNumberFormat="1" applyFont="1" applyFill="1" applyBorder="1" applyAlignment="1">
      <alignment horizontal="center"/>
    </xf>
    <xf numFmtId="0" fontId="4" fillId="2" borderId="15" xfId="2" applyFont="1" applyFill="1" applyBorder="1" applyAlignment="1">
      <alignment horizontal="center"/>
    </xf>
    <xf numFmtId="0" fontId="4" fillId="2" borderId="0" xfId="2" applyFont="1" applyFill="1" applyAlignment="1">
      <alignment horizontal="center"/>
    </xf>
    <xf numFmtId="164" fontId="4" fillId="2" borderId="22" xfId="2" applyNumberFormat="1" applyFont="1" applyFill="1" applyBorder="1" applyAlignment="1">
      <alignment horizontal="center"/>
    </xf>
    <xf numFmtId="2" fontId="4" fillId="2" borderId="0" xfId="2" applyNumberFormat="1" applyFont="1" applyFill="1" applyAlignment="1">
      <alignment horizontal="center"/>
    </xf>
    <xf numFmtId="0" fontId="4" fillId="2" borderId="22" xfId="2" applyFont="1" applyFill="1" applyBorder="1" applyAlignment="1">
      <alignment horizontal="center"/>
    </xf>
    <xf numFmtId="11" fontId="4" fillId="2" borderId="22" xfId="2" applyNumberFormat="1" applyFont="1" applyFill="1" applyBorder="1" applyAlignment="1">
      <alignment horizontal="center"/>
    </xf>
    <xf numFmtId="0" fontId="4" fillId="2" borderId="16" xfId="2" applyFont="1" applyFill="1" applyBorder="1" applyAlignment="1">
      <alignment horizontal="center"/>
    </xf>
    <xf numFmtId="164" fontId="4" fillId="2" borderId="18" xfId="2" applyNumberFormat="1" applyFont="1" applyFill="1" applyBorder="1" applyAlignment="1">
      <alignment horizontal="center"/>
    </xf>
    <xf numFmtId="2" fontId="4" fillId="2" borderId="23" xfId="2" applyNumberFormat="1" applyFont="1" applyFill="1" applyBorder="1" applyAlignment="1">
      <alignment horizontal="center"/>
    </xf>
    <xf numFmtId="167" fontId="4" fillId="2" borderId="16" xfId="2" applyNumberFormat="1" applyFont="1" applyFill="1" applyBorder="1" applyAlignment="1">
      <alignment horizontal="center"/>
    </xf>
    <xf numFmtId="11" fontId="4" fillId="2" borderId="15" xfId="2" applyNumberFormat="1" applyFont="1" applyFill="1" applyBorder="1" applyAlignment="1">
      <alignment horizontal="center"/>
    </xf>
    <xf numFmtId="164" fontId="4" fillId="2" borderId="15" xfId="2" applyNumberFormat="1" applyFont="1" applyFill="1" applyBorder="1" applyAlignment="1">
      <alignment horizontal="center"/>
    </xf>
    <xf numFmtId="2" fontId="4" fillId="2" borderId="15" xfId="2" applyNumberFormat="1" applyFont="1" applyFill="1" applyBorder="1" applyAlignment="1">
      <alignment horizontal="center"/>
    </xf>
    <xf numFmtId="167" fontId="4" fillId="2" borderId="15" xfId="2" applyNumberFormat="1" applyFont="1" applyFill="1" applyBorder="1" applyAlignment="1">
      <alignment horizontal="center"/>
    </xf>
    <xf numFmtId="164" fontId="4" fillId="2" borderId="12" xfId="2" applyNumberFormat="1" applyFont="1" applyFill="1" applyBorder="1" applyAlignment="1">
      <alignment horizontal="center"/>
    </xf>
    <xf numFmtId="2" fontId="4" fillId="2" borderId="2" xfId="2" applyNumberFormat="1" applyFont="1" applyFill="1" applyBorder="1" applyAlignment="1">
      <alignment horizontal="center"/>
    </xf>
    <xf numFmtId="0" fontId="5" fillId="2" borderId="0" xfId="2" applyFont="1" applyFill="1"/>
    <xf numFmtId="2" fontId="5" fillId="2" borderId="0" xfId="2" applyNumberFormat="1" applyFont="1" applyFill="1"/>
    <xf numFmtId="11" fontId="4" fillId="2" borderId="1" xfId="2" applyNumberFormat="1" applyFont="1" applyFill="1" applyBorder="1" applyAlignment="1">
      <alignment horizontal="center"/>
    </xf>
    <xf numFmtId="0" fontId="7" fillId="2" borderId="16" xfId="2" applyFont="1" applyFill="1" applyBorder="1"/>
    <xf numFmtId="2" fontId="7" fillId="2" borderId="16" xfId="2" applyNumberFormat="1" applyFont="1" applyFill="1" applyBorder="1"/>
    <xf numFmtId="0" fontId="14" fillId="2" borderId="16" xfId="2" applyFont="1" applyFill="1" applyBorder="1"/>
    <xf numFmtId="166" fontId="6" fillId="2" borderId="14" xfId="2" applyNumberFormat="1" applyFont="1" applyFill="1" applyBorder="1" applyAlignment="1">
      <alignment horizontal="center"/>
    </xf>
    <xf numFmtId="0" fontId="7" fillId="2" borderId="0" xfId="2" applyFont="1" applyFill="1"/>
    <xf numFmtId="2" fontId="7" fillId="2" borderId="0" xfId="2" applyNumberFormat="1" applyFont="1" applyFill="1"/>
    <xf numFmtId="0" fontId="6" fillId="2" borderId="16" xfId="2" applyFont="1" applyFill="1" applyBorder="1"/>
    <xf numFmtId="164" fontId="16" fillId="2" borderId="14" xfId="2" applyNumberFormat="1" applyFont="1" applyFill="1" applyBorder="1" applyAlignment="1">
      <alignment horizontal="center"/>
    </xf>
    <xf numFmtId="0" fontId="7" fillId="2" borderId="2" xfId="2" applyFont="1" applyFill="1" applyBorder="1"/>
    <xf numFmtId="2" fontId="7" fillId="2" borderId="2" xfId="2" applyNumberFormat="1" applyFont="1" applyFill="1" applyBorder="1"/>
    <xf numFmtId="0" fontId="6" fillId="2" borderId="2" xfId="2" applyFont="1" applyFill="1" applyBorder="1"/>
    <xf numFmtId="0" fontId="4" fillId="0" borderId="64" xfId="0" applyFont="1" applyBorder="1"/>
    <xf numFmtId="0" fontId="4" fillId="0" borderId="0" xfId="0" applyFont="1"/>
    <xf numFmtId="0" fontId="4" fillId="2" borderId="0" xfId="0" applyFont="1" applyFill="1"/>
    <xf numFmtId="0" fontId="0" fillId="5" borderId="54" xfId="0" applyFill="1" applyBorder="1"/>
    <xf numFmtId="0" fontId="0" fillId="5" borderId="55" xfId="0" applyFill="1" applyBorder="1"/>
    <xf numFmtId="0" fontId="0" fillId="5" borderId="56" xfId="0" applyFill="1" applyBorder="1"/>
    <xf numFmtId="0" fontId="6" fillId="5" borderId="37" xfId="0" applyFont="1" applyFill="1" applyBorder="1" applyAlignment="1">
      <alignment horizontal="left"/>
    </xf>
    <xf numFmtId="0" fontId="4" fillId="5" borderId="16" xfId="0" applyFont="1" applyFill="1" applyBorder="1"/>
    <xf numFmtId="0" fontId="0" fillId="5" borderId="16" xfId="0" applyFill="1" applyBorder="1"/>
    <xf numFmtId="0" fontId="0" fillId="5" borderId="40" xfId="0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2" borderId="55" xfId="2" applyFill="1" applyBorder="1"/>
    <xf numFmtId="0" fontId="8" fillId="2" borderId="47" xfId="2" applyFont="1" applyFill="1" applyBorder="1" applyAlignment="1">
      <alignment horizontal="center"/>
    </xf>
    <xf numFmtId="0" fontId="2" fillId="2" borderId="64" xfId="2" applyFill="1" applyBorder="1"/>
    <xf numFmtId="0" fontId="7" fillId="2" borderId="33" xfId="2" applyFont="1" applyFill="1" applyBorder="1"/>
    <xf numFmtId="2" fontId="7" fillId="2" borderId="33" xfId="2" applyNumberFormat="1" applyFont="1" applyFill="1" applyBorder="1"/>
    <xf numFmtId="0" fontId="6" fillId="2" borderId="33" xfId="2" applyFont="1" applyFill="1" applyBorder="1"/>
    <xf numFmtId="0" fontId="4" fillId="2" borderId="33" xfId="0" applyFont="1" applyFill="1" applyBorder="1"/>
    <xf numFmtId="2" fontId="18" fillId="2" borderId="15" xfId="0" applyNumberFormat="1" applyFont="1" applyFill="1" applyBorder="1" applyAlignment="1">
      <alignment horizontal="center"/>
    </xf>
    <xf numFmtId="164" fontId="18" fillId="2" borderId="0" xfId="0" applyNumberFormat="1" applyFont="1" applyFill="1" applyAlignment="1">
      <alignment horizontal="center" vertical="center"/>
    </xf>
    <xf numFmtId="2" fontId="4" fillId="6" borderId="15" xfId="0" applyNumberFormat="1" applyFont="1" applyFill="1" applyBorder="1" applyAlignment="1">
      <alignment horizontal="center" vertical="center"/>
    </xf>
    <xf numFmtId="2" fontId="4" fillId="6" borderId="15" xfId="0" applyNumberFormat="1" applyFont="1" applyFill="1" applyBorder="1" applyAlignment="1">
      <alignment horizontal="center"/>
    </xf>
    <xf numFmtId="2" fontId="4" fillId="2" borderId="1" xfId="0" applyNumberFormat="1" applyFont="1" applyFill="1" applyBorder="1" applyAlignment="1">
      <alignment horizontal="center" vertical="center"/>
    </xf>
    <xf numFmtId="2" fontId="4" fillId="2" borderId="41" xfId="0" applyNumberFormat="1" applyFont="1" applyFill="1" applyBorder="1" applyAlignment="1">
      <alignment horizontal="center" vertical="center"/>
    </xf>
    <xf numFmtId="0" fontId="12" fillId="2" borderId="15" xfId="0" applyFont="1" applyFill="1" applyBorder="1" applyAlignment="1">
      <alignment horizontal="center" vertical="center"/>
    </xf>
    <xf numFmtId="0" fontId="24" fillId="2" borderId="0" xfId="0" applyFont="1" applyFill="1"/>
    <xf numFmtId="165" fontId="2" fillId="2" borderId="0" xfId="0" applyNumberFormat="1" applyFont="1" applyFill="1"/>
    <xf numFmtId="2" fontId="2" fillId="2" borderId="0" xfId="0" applyNumberFormat="1" applyFont="1" applyFill="1"/>
    <xf numFmtId="0" fontId="26" fillId="2" borderId="0" xfId="0" applyFont="1" applyFill="1"/>
    <xf numFmtId="0" fontId="26" fillId="2" borderId="28" xfId="0" applyFont="1" applyFill="1" applyBorder="1"/>
    <xf numFmtId="0" fontId="2" fillId="2" borderId="28" xfId="0" applyFont="1" applyFill="1" applyBorder="1"/>
    <xf numFmtId="0" fontId="26" fillId="2" borderId="26" xfId="0" applyFont="1" applyFill="1" applyBorder="1"/>
    <xf numFmtId="0" fontId="2" fillId="2" borderId="26" xfId="0" applyFont="1" applyFill="1" applyBorder="1"/>
    <xf numFmtId="0" fontId="27" fillId="2" borderId="0" xfId="0" applyFont="1" applyFill="1"/>
    <xf numFmtId="0" fontId="8" fillId="2" borderId="0" xfId="0" applyFont="1" applyFill="1"/>
    <xf numFmtId="165" fontId="8" fillId="2" borderId="0" xfId="0" applyNumberFormat="1" applyFont="1" applyFill="1"/>
    <xf numFmtId="2" fontId="8" fillId="2" borderId="0" xfId="0" applyNumberFormat="1" applyFont="1" applyFill="1"/>
    <xf numFmtId="0" fontId="26" fillId="2" borderId="15" xfId="0" applyFont="1" applyFill="1" applyBorder="1"/>
    <xf numFmtId="0" fontId="28" fillId="2" borderId="15" xfId="0" applyFont="1" applyFill="1" applyBorder="1"/>
    <xf numFmtId="0" fontId="28" fillId="2" borderId="0" xfId="0" applyFont="1" applyFill="1"/>
    <xf numFmtId="0" fontId="2" fillId="2" borderId="15" xfId="0" applyFont="1" applyFill="1" applyBorder="1"/>
    <xf numFmtId="0" fontId="21" fillId="2" borderId="0" xfId="0" applyFont="1" applyFill="1" applyAlignment="1">
      <alignment vertical="center"/>
    </xf>
    <xf numFmtId="0" fontId="27" fillId="2" borderId="2" xfId="0" applyFont="1" applyFill="1" applyBorder="1"/>
    <xf numFmtId="0" fontId="26" fillId="2" borderId="2" xfId="0" applyFont="1" applyFill="1" applyBorder="1"/>
    <xf numFmtId="0" fontId="2" fillId="2" borderId="2" xfId="0" applyFont="1" applyFill="1" applyBorder="1"/>
    <xf numFmtId="0" fontId="20" fillId="2" borderId="0" xfId="0" applyFont="1" applyFill="1" applyAlignment="1">
      <alignment horizontal="center" vertical="center" wrapText="1"/>
    </xf>
    <xf numFmtId="0" fontId="8" fillId="2" borderId="12" xfId="0" applyFont="1" applyFill="1" applyBorder="1" applyAlignment="1">
      <alignment horizontal="center" vertical="center" wrapText="1"/>
    </xf>
    <xf numFmtId="9" fontId="21" fillId="2" borderId="9" xfId="0" quotePrefix="1" applyNumberFormat="1" applyFont="1" applyFill="1" applyBorder="1" applyAlignment="1">
      <alignment horizontal="center" vertical="center" wrapText="1"/>
    </xf>
    <xf numFmtId="2" fontId="21" fillId="2" borderId="9" xfId="0" applyNumberFormat="1" applyFont="1" applyFill="1" applyBorder="1" applyAlignment="1">
      <alignment horizontal="center" vertical="center" wrapText="1"/>
    </xf>
    <xf numFmtId="2" fontId="2" fillId="2" borderId="0" xfId="1" applyNumberFormat="1" applyFont="1" applyFill="1" applyAlignment="1">
      <alignment horizontal="center" vertical="center" wrapText="1"/>
    </xf>
    <xf numFmtId="0" fontId="29" fillId="2" borderId="0" xfId="0" quotePrefix="1" applyFont="1" applyFill="1" applyAlignment="1">
      <alignment horizontal="right"/>
    </xf>
    <xf numFmtId="2" fontId="2" fillId="2" borderId="0" xfId="0" applyNumberFormat="1" applyFont="1" applyFill="1" applyAlignment="1">
      <alignment horizontal="left"/>
    </xf>
    <xf numFmtId="2" fontId="21" fillId="2" borderId="10" xfId="0" applyNumberFormat="1" applyFont="1" applyFill="1" applyBorder="1" applyAlignment="1">
      <alignment horizontal="center" vertical="center" wrapText="1"/>
    </xf>
    <xf numFmtId="0" fontId="21" fillId="2" borderId="3" xfId="0" applyFont="1" applyFill="1" applyBorder="1" applyAlignment="1">
      <alignment horizontal="center" vertical="center" wrapText="1"/>
    </xf>
    <xf numFmtId="0" fontId="21" fillId="2" borderId="5" xfId="0" applyFont="1" applyFill="1" applyBorder="1" applyAlignment="1">
      <alignment horizontal="center" vertical="center" wrapText="1"/>
    </xf>
    <xf numFmtId="0" fontId="21" fillId="2" borderId="7" xfId="0" applyFont="1" applyFill="1" applyBorder="1" applyAlignment="1">
      <alignment horizontal="center" vertical="center" wrapText="1"/>
    </xf>
    <xf numFmtId="2" fontId="21" fillId="2" borderId="13" xfId="0" applyNumberFormat="1" applyFont="1" applyFill="1" applyBorder="1" applyAlignment="1">
      <alignment horizontal="center" vertical="center" wrapText="1"/>
    </xf>
    <xf numFmtId="165" fontId="2" fillId="2" borderId="0" xfId="0" applyNumberFormat="1" applyFont="1" applyFill="1" applyAlignment="1">
      <alignment horizontal="center"/>
    </xf>
    <xf numFmtId="0" fontId="31" fillId="2" borderId="0" xfId="0" applyFont="1" applyFill="1" applyAlignment="1">
      <alignment horizontal="center"/>
    </xf>
    <xf numFmtId="0" fontId="32" fillId="2" borderId="0" xfId="0" applyFont="1" applyFill="1" applyAlignment="1">
      <alignment horizontal="center"/>
    </xf>
    <xf numFmtId="0" fontId="27" fillId="2" borderId="0" xfId="0" applyFont="1" applyFill="1" applyAlignment="1">
      <alignment horizontal="left"/>
    </xf>
    <xf numFmtId="0" fontId="27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27" fillId="2" borderId="15" xfId="0" applyFont="1" applyFill="1" applyBorder="1" applyAlignment="1">
      <alignment horizontal="left"/>
    </xf>
    <xf numFmtId="0" fontId="2" fillId="2" borderId="0" xfId="0" applyFont="1" applyFill="1" applyAlignment="1">
      <alignment horizontal="left" vertical="center"/>
    </xf>
    <xf numFmtId="0" fontId="2" fillId="2" borderId="0" xfId="0" applyFont="1" applyFill="1" applyProtection="1">
      <protection hidden="1"/>
    </xf>
    <xf numFmtId="0" fontId="2" fillId="0" borderId="0" xfId="0" applyFont="1" applyAlignment="1" applyProtection="1">
      <alignment horizontal="left"/>
      <protection hidden="1"/>
    </xf>
    <xf numFmtId="0" fontId="8" fillId="0" borderId="15" xfId="0" applyFont="1" applyBorder="1" applyAlignment="1">
      <alignment horizontal="left" vertical="center"/>
    </xf>
    <xf numFmtId="0" fontId="33" fillId="2" borderId="0" xfId="0" applyFont="1" applyFill="1" applyAlignment="1">
      <alignment vertical="center"/>
    </xf>
    <xf numFmtId="165" fontId="2" fillId="2" borderId="18" xfId="0" applyNumberFormat="1" applyFont="1" applyFill="1" applyBorder="1"/>
    <xf numFmtId="165" fontId="2" fillId="2" borderId="22" xfId="0" applyNumberFormat="1" applyFont="1" applyFill="1" applyBorder="1"/>
    <xf numFmtId="0" fontId="26" fillId="2" borderId="29" xfId="0" applyFont="1" applyFill="1" applyBorder="1" applyAlignment="1">
      <alignment horizontal="left"/>
    </xf>
    <xf numFmtId="0" fontId="26" fillId="2" borderId="29" xfId="0" applyFont="1" applyFill="1" applyBorder="1"/>
    <xf numFmtId="0" fontId="26" fillId="2" borderId="0" xfId="0" applyFont="1" applyFill="1" applyAlignment="1">
      <alignment vertical="center"/>
    </xf>
    <xf numFmtId="0" fontId="27" fillId="2" borderId="0" xfId="0" applyFont="1" applyFill="1" applyAlignment="1">
      <alignment vertical="center"/>
    </xf>
    <xf numFmtId="0" fontId="8" fillId="2" borderId="15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vertical="center"/>
    </xf>
    <xf numFmtId="0" fontId="2" fillId="2" borderId="26" xfId="0" applyFont="1" applyFill="1" applyBorder="1" applyAlignment="1">
      <alignment vertical="center"/>
    </xf>
    <xf numFmtId="0" fontId="2" fillId="2" borderId="74" xfId="0" applyFont="1" applyFill="1" applyBorder="1" applyAlignment="1">
      <alignment horizontal="left" vertical="center" wrapText="1"/>
    </xf>
    <xf numFmtId="0" fontId="2" fillId="2" borderId="6" xfId="0" applyFont="1" applyFill="1" applyBorder="1" applyAlignment="1">
      <alignment vertical="center" wrapText="1"/>
    </xf>
    <xf numFmtId="0" fontId="2" fillId="2" borderId="10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left" vertical="center" wrapText="1"/>
    </xf>
    <xf numFmtId="0" fontId="2" fillId="2" borderId="13" xfId="0" applyFont="1" applyFill="1" applyBorder="1" applyAlignment="1">
      <alignment horizontal="center" vertical="center"/>
    </xf>
    <xf numFmtId="0" fontId="2" fillId="2" borderId="25" xfId="0" applyFont="1" applyFill="1" applyBorder="1" applyAlignment="1">
      <alignment vertical="center"/>
    </xf>
    <xf numFmtId="0" fontId="2" fillId="2" borderId="8" xfId="0" applyFont="1" applyFill="1" applyBorder="1" applyAlignment="1">
      <alignment horizontal="left" vertical="center"/>
    </xf>
    <xf numFmtId="165" fontId="2" fillId="2" borderId="5" xfId="0" quotePrefix="1" applyNumberFormat="1" applyFont="1" applyFill="1" applyBorder="1" applyAlignment="1">
      <alignment vertical="center" wrapText="1"/>
    </xf>
    <xf numFmtId="165" fontId="2" fillId="2" borderId="7" xfId="0" quotePrefix="1" applyNumberFormat="1" applyFont="1" applyFill="1" applyBorder="1" applyAlignment="1">
      <alignment vertical="center" wrapText="1"/>
    </xf>
    <xf numFmtId="0" fontId="8" fillId="2" borderId="0" xfId="0" applyFont="1" applyFill="1" applyAlignment="1">
      <alignment vertical="center" wrapText="1"/>
    </xf>
    <xf numFmtId="0" fontId="21" fillId="2" borderId="0" xfId="0" applyFont="1" applyFill="1" applyAlignment="1">
      <alignment horizontal="center" vertical="center" wrapText="1"/>
    </xf>
    <xf numFmtId="2" fontId="21" fillId="2" borderId="0" xfId="0" applyNumberFormat="1" applyFont="1" applyFill="1" applyAlignment="1">
      <alignment horizontal="center" vertical="center" wrapText="1"/>
    </xf>
    <xf numFmtId="0" fontId="30" fillId="2" borderId="0" xfId="0" quotePrefix="1" applyFont="1" applyFill="1" applyAlignment="1">
      <alignment horizontal="center" vertical="center" wrapText="1"/>
    </xf>
    <xf numFmtId="0" fontId="29" fillId="2" borderId="0" xfId="0" applyFont="1" applyFill="1" applyAlignment="1">
      <alignment horizontal="center" vertical="center" wrapText="1"/>
    </xf>
    <xf numFmtId="2" fontId="21" fillId="2" borderId="10" xfId="0" applyNumberFormat="1" applyFont="1" applyFill="1" applyBorder="1" applyAlignment="1">
      <alignment vertical="center" wrapText="1"/>
    </xf>
    <xf numFmtId="9" fontId="21" fillId="2" borderId="0" xfId="0" quotePrefix="1" applyNumberFormat="1" applyFont="1" applyFill="1" applyAlignment="1">
      <alignment horizontal="center" vertical="center" wrapText="1"/>
    </xf>
    <xf numFmtId="0" fontId="21" fillId="2" borderId="0" xfId="0" quotePrefix="1" applyFont="1" applyFill="1" applyAlignment="1">
      <alignment horizontal="center" vertical="center" wrapText="1"/>
    </xf>
    <xf numFmtId="9" fontId="21" fillId="2" borderId="13" xfId="0" quotePrefix="1" applyNumberFormat="1" applyFont="1" applyFill="1" applyBorder="1" applyAlignment="1">
      <alignment horizontal="center" vertical="center" wrapText="1"/>
    </xf>
    <xf numFmtId="0" fontId="2" fillId="0" borderId="0" xfId="0" applyFont="1" applyAlignment="1" applyProtection="1">
      <alignment vertical="center"/>
      <protection locked="0"/>
    </xf>
    <xf numFmtId="0" fontId="3" fillId="2" borderId="15" xfId="0" applyFont="1" applyFill="1" applyBorder="1" applyAlignment="1">
      <alignment horizontal="center" vertical="center"/>
    </xf>
    <xf numFmtId="0" fontId="29" fillId="2" borderId="0" xfId="0" applyFont="1" applyFill="1" applyAlignment="1">
      <alignment vertical="center" wrapText="1"/>
    </xf>
    <xf numFmtId="1" fontId="2" fillId="2" borderId="0" xfId="0" applyNumberFormat="1" applyFont="1" applyFill="1" applyAlignment="1">
      <alignment horizontal="left"/>
    </xf>
    <xf numFmtId="0" fontId="2" fillId="2" borderId="75" xfId="0" applyFont="1" applyFill="1" applyBorder="1"/>
    <xf numFmtId="0" fontId="24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165" fontId="2" fillId="2" borderId="0" xfId="0" applyNumberFormat="1" applyFont="1" applyFill="1" applyAlignment="1">
      <alignment vertical="center"/>
    </xf>
    <xf numFmtId="2" fontId="2" fillId="2" borderId="0" xfId="0" applyNumberFormat="1" applyFont="1" applyFill="1" applyAlignment="1">
      <alignment vertical="center"/>
    </xf>
    <xf numFmtId="0" fontId="21" fillId="2" borderId="0" xfId="0" applyFont="1" applyFill="1" applyAlignment="1">
      <alignment horizontal="right" vertical="center"/>
    </xf>
    <xf numFmtId="0" fontId="21" fillId="7" borderId="0" xfId="0" applyFont="1" applyFill="1" applyAlignment="1">
      <alignment vertical="center"/>
    </xf>
    <xf numFmtId="0" fontId="2" fillId="7" borderId="0" xfId="0" applyFont="1" applyFill="1" applyAlignment="1">
      <alignment vertical="center"/>
    </xf>
    <xf numFmtId="170" fontId="21" fillId="7" borderId="0" xfId="0" quotePrefix="1" applyNumberFormat="1" applyFont="1" applyFill="1" applyAlignment="1">
      <alignment horizontal="left" vertical="center"/>
    </xf>
    <xf numFmtId="0" fontId="22" fillId="2" borderId="0" xfId="0" applyFont="1" applyFill="1" applyAlignment="1">
      <alignment vertical="center"/>
    </xf>
    <xf numFmtId="0" fontId="12" fillId="2" borderId="15" xfId="0" applyFont="1" applyFill="1" applyBorder="1" applyAlignment="1">
      <alignment horizontal="center" vertical="center" wrapText="1"/>
    </xf>
    <xf numFmtId="0" fontId="12" fillId="2" borderId="0" xfId="0" applyFont="1" applyFill="1" applyAlignment="1">
      <alignment horizontal="center" vertical="center" wrapText="1"/>
    </xf>
    <xf numFmtId="165" fontId="8" fillId="2" borderId="0" xfId="0" applyNumberFormat="1" applyFont="1" applyFill="1" applyAlignment="1">
      <alignment vertical="center"/>
    </xf>
    <xf numFmtId="2" fontId="8" fillId="2" borderId="0" xfId="0" applyNumberFormat="1" applyFont="1" applyFill="1" applyAlignment="1">
      <alignment vertical="center"/>
    </xf>
    <xf numFmtId="0" fontId="34" fillId="2" borderId="0" xfId="0" applyFont="1" applyFill="1" applyAlignment="1">
      <alignment vertical="center"/>
    </xf>
    <xf numFmtId="165" fontId="2" fillId="2" borderId="0" xfId="0" applyNumberFormat="1" applyFont="1" applyFill="1" applyAlignment="1">
      <alignment horizontal="left" vertical="center"/>
    </xf>
    <xf numFmtId="0" fontId="2" fillId="2" borderId="0" xfId="0" applyFont="1" applyFill="1" applyAlignment="1">
      <alignment horizontal="center" vertical="center"/>
    </xf>
    <xf numFmtId="0" fontId="29" fillId="2" borderId="0" xfId="0" quotePrefix="1" applyFont="1" applyFill="1" applyAlignment="1">
      <alignment horizontal="right" vertical="center"/>
    </xf>
    <xf numFmtId="2" fontId="2" fillId="2" borderId="0" xfId="0" applyNumberFormat="1" applyFont="1" applyFill="1" applyAlignment="1">
      <alignment horizontal="left" vertical="center"/>
    </xf>
    <xf numFmtId="0" fontId="2" fillId="2" borderId="0" xfId="0" applyFont="1" applyFill="1" applyAlignment="1">
      <alignment horizontal="center" vertical="center" wrapText="1"/>
    </xf>
    <xf numFmtId="0" fontId="8" fillId="2" borderId="0" xfId="0" applyFont="1" applyFill="1" applyAlignment="1">
      <alignment horizontal="center" vertical="center" wrapText="1"/>
    </xf>
    <xf numFmtId="2" fontId="2" fillId="2" borderId="0" xfId="0" applyNumberFormat="1" applyFont="1" applyFill="1" applyAlignment="1">
      <alignment horizontal="center" vertical="center" wrapText="1"/>
    </xf>
    <xf numFmtId="165" fontId="21" fillId="2" borderId="0" xfId="0" applyNumberFormat="1" applyFont="1" applyFill="1" applyAlignment="1">
      <alignment horizontal="center" vertical="center"/>
    </xf>
    <xf numFmtId="0" fontId="32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left" vertical="center"/>
    </xf>
    <xf numFmtId="0" fontId="22" fillId="2" borderId="0" xfId="0" applyFont="1" applyFill="1" applyAlignment="1">
      <alignment horizontal="center" vertical="center"/>
    </xf>
    <xf numFmtId="0" fontId="21" fillId="2" borderId="0" xfId="0" applyFont="1" applyFill="1" applyAlignment="1">
      <alignment horizontal="center" vertical="center"/>
    </xf>
    <xf numFmtId="2" fontId="2" fillId="2" borderId="0" xfId="0" applyNumberFormat="1" applyFont="1" applyFill="1" applyAlignment="1">
      <alignment horizontal="center" vertical="center"/>
    </xf>
    <xf numFmtId="0" fontId="21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right" vertical="center"/>
    </xf>
    <xf numFmtId="0" fontId="2" fillId="2" borderId="3" xfId="0" applyFont="1" applyFill="1" applyBorder="1" applyAlignment="1">
      <alignment vertical="center"/>
    </xf>
    <xf numFmtId="0" fontId="2" fillId="2" borderId="24" xfId="0" applyFont="1" applyFill="1" applyBorder="1" applyAlignment="1">
      <alignment vertical="center"/>
    </xf>
    <xf numFmtId="0" fontId="2" fillId="2" borderId="0" xfId="0" applyFont="1" applyFill="1" applyAlignment="1">
      <alignment vertical="center" wrapText="1"/>
    </xf>
    <xf numFmtId="0" fontId="21" fillId="2" borderId="0" xfId="0" applyFont="1" applyFill="1" applyAlignment="1">
      <alignment vertical="center" wrapText="1"/>
    </xf>
    <xf numFmtId="2" fontId="2" fillId="2" borderId="0" xfId="0" applyNumberFormat="1" applyFont="1" applyFill="1" applyAlignment="1">
      <alignment horizontal="right" vertical="center"/>
    </xf>
    <xf numFmtId="0" fontId="2" fillId="2" borderId="4" xfId="0" applyFont="1" applyFill="1" applyBorder="1" applyAlignment="1">
      <alignment vertical="center"/>
    </xf>
    <xf numFmtId="165" fontId="2" fillId="0" borderId="0" xfId="0" applyNumberFormat="1" applyFont="1" applyAlignment="1">
      <alignment horizontal="center" vertical="center" wrapText="1"/>
    </xf>
    <xf numFmtId="165" fontId="2" fillId="0" borderId="0" xfId="0" applyNumberFormat="1" applyFont="1" applyAlignment="1">
      <alignment vertical="center" wrapText="1"/>
    </xf>
    <xf numFmtId="2" fontId="2" fillId="0" borderId="0" xfId="0" applyNumberFormat="1" applyFont="1" applyAlignment="1">
      <alignment horizontal="center" vertical="center" wrapText="1"/>
    </xf>
    <xf numFmtId="2" fontId="21" fillId="0" borderId="0" xfId="0" applyNumberFormat="1" applyFont="1" applyAlignment="1">
      <alignment horizontal="center" vertical="center" wrapText="1"/>
    </xf>
    <xf numFmtId="2" fontId="2" fillId="0" borderId="0" xfId="1" applyNumberFormat="1" applyFont="1" applyFill="1" applyAlignment="1">
      <alignment horizontal="center" vertical="center" wrapText="1"/>
    </xf>
    <xf numFmtId="0" fontId="22" fillId="2" borderId="0" xfId="0" applyFont="1" applyFill="1" applyAlignment="1">
      <alignment horizontal="left"/>
    </xf>
    <xf numFmtId="0" fontId="22" fillId="2" borderId="0" xfId="0" applyFont="1" applyFill="1" applyAlignment="1">
      <alignment vertical="center" wrapText="1"/>
    </xf>
    <xf numFmtId="0" fontId="19" fillId="2" borderId="15" xfId="0" applyFont="1" applyFill="1" applyBorder="1" applyAlignment="1">
      <alignment horizontal="center" vertical="center"/>
    </xf>
    <xf numFmtId="165" fontId="2" fillId="0" borderId="0" xfId="0" applyNumberFormat="1" applyFont="1" applyAlignment="1">
      <alignment vertical="center"/>
    </xf>
    <xf numFmtId="1" fontId="2" fillId="2" borderId="58" xfId="2" applyNumberFormat="1" applyFill="1" applyBorder="1" applyAlignment="1">
      <alignment horizontal="center"/>
    </xf>
    <xf numFmtId="1" fontId="2" fillId="2" borderId="15" xfId="2" applyNumberFormat="1" applyFill="1" applyBorder="1" applyAlignment="1">
      <alignment horizontal="center"/>
    </xf>
    <xf numFmtId="165" fontId="26" fillId="2" borderId="0" xfId="0" applyNumberFormat="1" applyFont="1" applyFill="1" applyAlignment="1">
      <alignment vertical="center"/>
    </xf>
    <xf numFmtId="2" fontId="26" fillId="2" borderId="0" xfId="0" applyNumberFormat="1" applyFont="1" applyFill="1" applyAlignment="1">
      <alignment vertical="center"/>
    </xf>
    <xf numFmtId="0" fontId="26" fillId="2" borderId="15" xfId="0" applyFont="1" applyFill="1" applyBorder="1" applyAlignment="1">
      <alignment vertical="center"/>
    </xf>
    <xf numFmtId="0" fontId="27" fillId="2" borderId="0" xfId="0" applyFont="1" applyFill="1" applyAlignment="1" applyProtection="1">
      <alignment vertical="center"/>
      <protection locked="0"/>
    </xf>
    <xf numFmtId="0" fontId="26" fillId="2" borderId="0" xfId="0" applyFont="1" applyFill="1" applyAlignment="1" applyProtection="1">
      <alignment vertical="center"/>
      <protection locked="0"/>
    </xf>
    <xf numFmtId="165" fontId="26" fillId="2" borderId="0" xfId="0" applyNumberFormat="1" applyFont="1" applyFill="1" applyAlignment="1" applyProtection="1">
      <alignment horizontal="center" vertical="center"/>
      <protection locked="0"/>
    </xf>
    <xf numFmtId="165" fontId="26" fillId="2" borderId="0" xfId="0" applyNumberFormat="1" applyFont="1" applyFill="1" applyAlignment="1" applyProtection="1">
      <alignment vertical="center"/>
      <protection locked="0"/>
    </xf>
    <xf numFmtId="2" fontId="26" fillId="2" borderId="0" xfId="0" applyNumberFormat="1" applyFont="1" applyFill="1" applyAlignment="1" applyProtection="1">
      <alignment vertical="center"/>
      <protection locked="0"/>
    </xf>
    <xf numFmtId="2" fontId="9" fillId="0" borderId="50" xfId="0" applyNumberFormat="1" applyFont="1" applyBorder="1" applyAlignment="1">
      <alignment horizontal="center" vertical="center"/>
    </xf>
    <xf numFmtId="165" fontId="2" fillId="2" borderId="9" xfId="0" applyNumberFormat="1" applyFont="1" applyFill="1" applyBorder="1" applyAlignment="1">
      <alignment horizontal="center" vertical="center"/>
    </xf>
    <xf numFmtId="2" fontId="6" fillId="10" borderId="15" xfId="2" applyNumberFormat="1" applyFont="1" applyFill="1" applyBorder="1" applyAlignment="1">
      <alignment horizontal="center" vertical="center"/>
    </xf>
    <xf numFmtId="2" fontId="4" fillId="10" borderId="15" xfId="2" applyNumberFormat="1" applyFont="1" applyFill="1" applyBorder="1" applyAlignment="1">
      <alignment horizontal="center" vertical="center"/>
    </xf>
    <xf numFmtId="2" fontId="4" fillId="10" borderId="15" xfId="0" applyNumberFormat="1" applyFont="1" applyFill="1" applyBorder="1" applyAlignment="1">
      <alignment horizontal="center" vertical="center"/>
    </xf>
    <xf numFmtId="2" fontId="2" fillId="10" borderId="15" xfId="0" applyNumberFormat="1" applyFont="1" applyFill="1" applyBorder="1" applyAlignment="1">
      <alignment horizontal="center" vertical="center"/>
    </xf>
    <xf numFmtId="2" fontId="2" fillId="10" borderId="15" xfId="2" applyNumberFormat="1" applyFill="1" applyBorder="1" applyAlignment="1">
      <alignment horizontal="center" vertical="center"/>
    </xf>
    <xf numFmtId="2" fontId="6" fillId="2" borderId="15" xfId="2" applyNumberFormat="1" applyFont="1" applyFill="1" applyBorder="1" applyAlignment="1">
      <alignment horizontal="center" vertical="center"/>
    </xf>
    <xf numFmtId="2" fontId="2" fillId="2" borderId="15" xfId="0" applyNumberFormat="1" applyFont="1" applyFill="1" applyBorder="1" applyAlignment="1">
      <alignment horizontal="center" vertical="center"/>
    </xf>
    <xf numFmtId="0" fontId="26" fillId="2" borderId="0" xfId="0" applyFont="1" applyFill="1" applyAlignment="1">
      <alignment horizontal="center" vertical="center"/>
    </xf>
    <xf numFmtId="2" fontId="4" fillId="2" borderId="15" xfId="0" applyNumberFormat="1" applyFont="1" applyFill="1" applyBorder="1" applyAlignment="1">
      <alignment horizontal="center" vertical="center"/>
    </xf>
    <xf numFmtId="164" fontId="18" fillId="2" borderId="15" xfId="0" applyNumberFormat="1" applyFont="1" applyFill="1" applyBorder="1" applyAlignment="1">
      <alignment horizontal="center"/>
    </xf>
    <xf numFmtId="164" fontId="18" fillId="2" borderId="15" xfId="0" applyNumberFormat="1" applyFont="1" applyFill="1" applyBorder="1" applyAlignment="1">
      <alignment horizontal="center" vertical="center"/>
    </xf>
    <xf numFmtId="2" fontId="4" fillId="2" borderId="14" xfId="0" applyNumberFormat="1" applyFont="1" applyFill="1" applyBorder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0" fontId="26" fillId="0" borderId="0" xfId="0" applyFont="1" applyAlignment="1">
      <alignment vertical="center"/>
    </xf>
    <xf numFmtId="0" fontId="26" fillId="0" borderId="0" xfId="0" applyFont="1" applyAlignment="1" applyProtection="1">
      <alignment vertical="center"/>
      <protection locked="0"/>
    </xf>
    <xf numFmtId="0" fontId="27" fillId="0" borderId="0" xfId="0" applyFont="1" applyAlignment="1" applyProtection="1">
      <alignment vertical="center"/>
      <protection locked="0"/>
    </xf>
    <xf numFmtId="0" fontId="3" fillId="0" borderId="0" xfId="0" applyFont="1" applyAlignment="1" applyProtection="1">
      <alignment horizontal="right" vertical="center"/>
      <protection locked="0"/>
    </xf>
    <xf numFmtId="0" fontId="21" fillId="2" borderId="0" xfId="2" applyFont="1" applyFill="1" applyAlignment="1" applyProtection="1">
      <alignment vertical="center"/>
      <protection locked="0"/>
    </xf>
    <xf numFmtId="0" fontId="21" fillId="0" borderId="0" xfId="2" applyFont="1" applyAlignment="1" applyProtection="1">
      <alignment vertical="center"/>
      <protection locked="0"/>
    </xf>
    <xf numFmtId="0" fontId="21" fillId="2" borderId="0" xfId="2" applyFont="1" applyFill="1" applyAlignment="1" applyProtection="1">
      <alignment horizontal="center" vertical="center"/>
      <protection locked="0"/>
    </xf>
    <xf numFmtId="0" fontId="22" fillId="2" borderId="0" xfId="2" applyFont="1" applyFill="1" applyAlignment="1" applyProtection="1">
      <alignment vertical="center"/>
      <protection locked="0"/>
    </xf>
    <xf numFmtId="0" fontId="22" fillId="2" borderId="0" xfId="3" applyFont="1" applyFill="1" applyAlignment="1" applyProtection="1">
      <alignment vertical="center"/>
      <protection locked="0"/>
    </xf>
    <xf numFmtId="0" fontId="21" fillId="2" borderId="0" xfId="3" applyFont="1" applyFill="1" applyAlignment="1" applyProtection="1">
      <alignment vertical="center"/>
      <protection locked="0"/>
    </xf>
    <xf numFmtId="0" fontId="21" fillId="0" borderId="0" xfId="0" applyFont="1" applyAlignment="1">
      <alignment vertical="center"/>
    </xf>
    <xf numFmtId="0" fontId="21" fillId="0" borderId="0" xfId="0" applyFont="1" applyAlignment="1">
      <alignment vertical="center" wrapText="1"/>
    </xf>
    <xf numFmtId="0" fontId="21" fillId="0" borderId="0" xfId="0" applyFont="1" applyAlignment="1">
      <alignment horizontal="center" vertical="center"/>
    </xf>
    <xf numFmtId="0" fontId="21" fillId="0" borderId="0" xfId="0" applyFont="1" applyAlignment="1" applyProtection="1">
      <alignment vertical="center"/>
      <protection locked="0"/>
    </xf>
    <xf numFmtId="0" fontId="21" fillId="0" borderId="0" xfId="0" applyFont="1" applyAlignment="1" applyProtection="1">
      <alignment horizontal="center" vertical="center"/>
      <protection locked="0"/>
    </xf>
    <xf numFmtId="0" fontId="22" fillId="0" borderId="0" xfId="0" applyFont="1" applyAlignment="1" applyProtection="1">
      <alignment horizontal="left" vertical="center"/>
      <protection locked="0"/>
    </xf>
    <xf numFmtId="0" fontId="22" fillId="0" borderId="0" xfId="0" applyFont="1" applyAlignment="1" applyProtection="1">
      <alignment horizontal="center" vertical="center"/>
      <protection locked="0"/>
    </xf>
    <xf numFmtId="0" fontId="22" fillId="0" borderId="0" xfId="0" applyFont="1" applyAlignment="1" applyProtection="1">
      <alignment horizontal="right" vertical="center"/>
      <protection locked="0"/>
    </xf>
    <xf numFmtId="164" fontId="21" fillId="0" borderId="0" xfId="0" applyNumberFormat="1" applyFont="1" applyAlignment="1" applyProtection="1">
      <alignment vertical="center"/>
      <protection locked="0"/>
    </xf>
    <xf numFmtId="0" fontId="21" fillId="2" borderId="0" xfId="0" applyFont="1" applyFill="1" applyAlignment="1" applyProtection="1">
      <alignment vertical="center"/>
      <protection locked="0"/>
    </xf>
    <xf numFmtId="0" fontId="21" fillId="2" borderId="0" xfId="0" applyFont="1" applyFill="1" applyAlignment="1" applyProtection="1">
      <alignment horizontal="center" vertical="center"/>
      <protection locked="0"/>
    </xf>
    <xf numFmtId="0" fontId="30" fillId="2" borderId="0" xfId="3" applyFont="1" applyFill="1" applyAlignment="1" applyProtection="1">
      <alignment vertical="center"/>
      <protection locked="0"/>
    </xf>
    <xf numFmtId="0" fontId="23" fillId="0" borderId="0" xfId="0" applyFont="1" applyAlignment="1">
      <alignment vertical="center"/>
    </xf>
    <xf numFmtId="0" fontId="25" fillId="0" borderId="0" xfId="0" applyFont="1" applyAlignment="1">
      <alignment vertical="center"/>
    </xf>
    <xf numFmtId="0" fontId="20" fillId="2" borderId="0" xfId="0" applyFont="1" applyFill="1" applyAlignment="1">
      <alignment vertical="center" wrapText="1"/>
    </xf>
    <xf numFmtId="180" fontId="2" fillId="2" borderId="5" xfId="0" applyNumberFormat="1" applyFont="1" applyFill="1" applyBorder="1" applyAlignment="1">
      <alignment horizontal="right" vertical="center" wrapText="1"/>
    </xf>
    <xf numFmtId="2" fontId="7" fillId="2" borderId="11" xfId="2" applyNumberFormat="1" applyFont="1" applyFill="1" applyBorder="1" applyAlignment="1">
      <alignment horizontal="center"/>
    </xf>
    <xf numFmtId="2" fontId="7" fillId="2" borderId="61" xfId="2" applyNumberFormat="1" applyFont="1" applyFill="1" applyBorder="1" applyAlignment="1">
      <alignment horizontal="center"/>
    </xf>
    <xf numFmtId="0" fontId="21" fillId="2" borderId="76" xfId="0" applyFont="1" applyFill="1" applyBorder="1" applyAlignment="1">
      <alignment horizontal="center" vertical="center" wrapText="1"/>
    </xf>
    <xf numFmtId="2" fontId="21" fillId="2" borderId="77" xfId="0" applyNumberFormat="1" applyFont="1" applyFill="1" applyBorder="1" applyAlignment="1">
      <alignment horizontal="center" vertical="center" wrapText="1"/>
    </xf>
    <xf numFmtId="2" fontId="21" fillId="2" borderId="77" xfId="0" applyNumberFormat="1" applyFont="1" applyFill="1" applyBorder="1" applyAlignment="1">
      <alignment vertical="center" wrapText="1"/>
    </xf>
    <xf numFmtId="165" fontId="0" fillId="2" borderId="15" xfId="0" applyNumberFormat="1" applyFill="1" applyBorder="1" applyAlignment="1">
      <alignment horizontal="center" vertical="center"/>
    </xf>
    <xf numFmtId="0" fontId="25" fillId="0" borderId="0" xfId="0" applyFont="1" applyAlignment="1">
      <alignment horizontal="right" vertical="center"/>
    </xf>
    <xf numFmtId="2" fontId="3" fillId="2" borderId="15" xfId="0" applyNumberFormat="1" applyFont="1" applyFill="1" applyBorder="1" applyAlignment="1">
      <alignment horizontal="center" vertical="center"/>
    </xf>
    <xf numFmtId="0" fontId="27" fillId="11" borderId="15" xfId="0" applyFont="1" applyFill="1" applyBorder="1" applyAlignment="1" applyProtection="1">
      <alignment horizontal="center" vertical="center" wrapText="1"/>
      <protection locked="0"/>
    </xf>
    <xf numFmtId="166" fontId="27" fillId="11" borderId="15" xfId="0" applyNumberFormat="1" applyFont="1" applyFill="1" applyBorder="1" applyAlignment="1" applyProtection="1">
      <alignment horizontal="center" vertical="center" wrapText="1"/>
      <protection locked="0"/>
    </xf>
    <xf numFmtId="1" fontId="41" fillId="2" borderId="15" xfId="0" applyNumberFormat="1" applyFont="1" applyFill="1" applyBorder="1" applyAlignment="1" applyProtection="1">
      <alignment horizontal="center" vertical="center"/>
      <protection locked="0"/>
    </xf>
    <xf numFmtId="165" fontId="42" fillId="2" borderId="15" xfId="0" applyNumberFormat="1" applyFont="1" applyFill="1" applyBorder="1" applyAlignment="1" applyProtection="1">
      <alignment horizontal="center" vertical="center" wrapText="1"/>
      <protection locked="0"/>
    </xf>
    <xf numFmtId="0" fontId="43" fillId="2" borderId="40" xfId="0" applyFont="1" applyFill="1" applyBorder="1" applyAlignment="1" applyProtection="1">
      <alignment horizontal="center" vertical="center" wrapText="1"/>
      <protection locked="0"/>
    </xf>
    <xf numFmtId="165" fontId="31" fillId="0" borderId="53" xfId="0" applyNumberFormat="1" applyFont="1" applyBorder="1" applyAlignment="1" applyProtection="1">
      <alignment horizontal="center" vertical="center"/>
      <protection locked="0"/>
    </xf>
    <xf numFmtId="165" fontId="27" fillId="8" borderId="50" xfId="0" applyNumberFormat="1" applyFont="1" applyFill="1" applyBorder="1" applyAlignment="1">
      <alignment horizontal="center" vertical="center"/>
    </xf>
    <xf numFmtId="165" fontId="42" fillId="2" borderId="52" xfId="0" applyNumberFormat="1" applyFont="1" applyFill="1" applyBorder="1" applyAlignment="1" applyProtection="1">
      <alignment horizontal="center" vertical="center" wrapText="1"/>
      <protection locked="0"/>
    </xf>
    <xf numFmtId="0" fontId="44" fillId="0" borderId="57" xfId="0" applyFont="1" applyBorder="1" applyAlignment="1" applyProtection="1">
      <alignment horizontal="center" vertical="center" wrapText="1"/>
      <protection locked="0"/>
    </xf>
    <xf numFmtId="0" fontId="44" fillId="2" borderId="59" xfId="0" applyFont="1" applyFill="1" applyBorder="1" applyAlignment="1" applyProtection="1">
      <alignment horizontal="center" vertical="center" wrapText="1"/>
      <protection locked="0"/>
    </xf>
    <xf numFmtId="165" fontId="43" fillId="0" borderId="53" xfId="0" applyNumberFormat="1" applyFont="1" applyBorder="1" applyAlignment="1" applyProtection="1">
      <alignment horizontal="center" vertical="center"/>
      <protection locked="0"/>
    </xf>
    <xf numFmtId="165" fontId="44" fillId="2" borderId="52" xfId="0" applyNumberFormat="1" applyFont="1" applyFill="1" applyBorder="1" applyAlignment="1" applyProtection="1">
      <alignment horizontal="center" vertical="center" wrapText="1"/>
      <protection locked="0"/>
    </xf>
    <xf numFmtId="0" fontId="21" fillId="0" borderId="15" xfId="0" applyFont="1" applyBorder="1" applyAlignment="1" applyProtection="1">
      <alignment horizontal="center" vertical="center" wrapText="1"/>
      <protection locked="0"/>
    </xf>
    <xf numFmtId="165" fontId="27" fillId="8" borderId="15" xfId="0" applyNumberFormat="1" applyFont="1" applyFill="1" applyBorder="1" applyAlignment="1">
      <alignment horizontal="center" vertical="center"/>
    </xf>
    <xf numFmtId="165" fontId="41" fillId="2" borderId="15" xfId="0" applyNumberFormat="1" applyFont="1" applyFill="1" applyBorder="1" applyAlignment="1" applyProtection="1">
      <alignment horizontal="center" vertical="center"/>
      <protection locked="0"/>
    </xf>
    <xf numFmtId="0" fontId="21" fillId="2" borderId="0" xfId="0" applyFont="1" applyFill="1"/>
    <xf numFmtId="0" fontId="41" fillId="2" borderId="24" xfId="0" applyFont="1" applyFill="1" applyBorder="1" applyAlignment="1">
      <alignment vertical="center"/>
    </xf>
    <xf numFmtId="0" fontId="41" fillId="2" borderId="26" xfId="0" applyFont="1" applyFill="1" applyBorder="1" applyAlignment="1">
      <alignment vertical="center"/>
    </xf>
    <xf numFmtId="0" fontId="41" fillId="2" borderId="25" xfId="0" applyFont="1" applyFill="1" applyBorder="1" applyAlignment="1">
      <alignment vertical="center"/>
    </xf>
    <xf numFmtId="180" fontId="41" fillId="0" borderId="5" xfId="0" applyNumberFormat="1" applyFont="1" applyBorder="1" applyAlignment="1">
      <alignment horizontal="right" vertical="center" wrapText="1"/>
    </xf>
    <xf numFmtId="0" fontId="41" fillId="2" borderId="5" xfId="0" applyFont="1" applyFill="1" applyBorder="1" applyAlignment="1">
      <alignment horizontal="right" vertical="center" wrapText="1"/>
    </xf>
    <xf numFmtId="0" fontId="41" fillId="2" borderId="7" xfId="0" applyFont="1" applyFill="1" applyBorder="1" applyAlignment="1">
      <alignment horizontal="right" vertical="center" wrapText="1"/>
    </xf>
    <xf numFmtId="0" fontId="2" fillId="0" borderId="15" xfId="0" applyFont="1" applyBorder="1" applyAlignment="1" applyProtection="1">
      <alignment horizontal="center" vertical="center"/>
      <protection locked="0"/>
    </xf>
    <xf numFmtId="2" fontId="45" fillId="2" borderId="0" xfId="0" applyNumberFormat="1" applyFont="1" applyFill="1" applyAlignment="1">
      <alignment horizontal="center" vertical="center" wrapText="1"/>
    </xf>
    <xf numFmtId="2" fontId="46" fillId="2" borderId="0" xfId="0" applyNumberFormat="1" applyFont="1" applyFill="1" applyAlignment="1">
      <alignment horizontal="center" vertical="center"/>
    </xf>
    <xf numFmtId="2" fontId="47" fillId="2" borderId="36" xfId="0" applyNumberFormat="1" applyFont="1" applyFill="1" applyBorder="1" applyAlignment="1">
      <alignment horizontal="center" vertical="center"/>
    </xf>
    <xf numFmtId="0" fontId="0" fillId="0" borderId="2" xfId="0" applyBorder="1"/>
    <xf numFmtId="0" fontId="0" fillId="0" borderId="21" xfId="0" applyBorder="1"/>
    <xf numFmtId="0" fontId="2" fillId="0" borderId="8" xfId="0" applyFont="1" applyBorder="1" applyAlignment="1">
      <alignment vertical="center"/>
    </xf>
    <xf numFmtId="0" fontId="10" fillId="2" borderId="23" xfId="0" applyFont="1" applyFill="1" applyBorder="1" applyAlignment="1">
      <alignment horizontal="center" vertical="center"/>
    </xf>
    <xf numFmtId="0" fontId="2" fillId="2" borderId="0" xfId="2" applyFill="1"/>
    <xf numFmtId="0" fontId="10" fillId="2" borderId="19" xfId="0" applyFont="1" applyFill="1" applyBorder="1" applyAlignment="1">
      <alignment horizontal="center" vertical="center"/>
    </xf>
    <xf numFmtId="0" fontId="10" fillId="2" borderId="20" xfId="0" applyFont="1" applyFill="1" applyBorder="1" applyAlignment="1">
      <alignment horizontal="center" vertical="center"/>
    </xf>
    <xf numFmtId="0" fontId="8" fillId="2" borderId="48" xfId="2" applyFont="1" applyFill="1" applyBorder="1"/>
    <xf numFmtId="0" fontId="2" fillId="2" borderId="69" xfId="2" applyFill="1" applyBorder="1"/>
    <xf numFmtId="0" fontId="13" fillId="2" borderId="14" xfId="2" applyFont="1" applyFill="1" applyBorder="1" applyAlignment="1">
      <alignment horizontal="center"/>
    </xf>
    <xf numFmtId="0" fontId="13" fillId="2" borderId="17" xfId="2" applyFont="1" applyFill="1" applyBorder="1" applyAlignment="1">
      <alignment horizontal="center"/>
    </xf>
    <xf numFmtId="0" fontId="4" fillId="2" borderId="15" xfId="2" applyFont="1" applyFill="1" applyBorder="1" applyAlignment="1">
      <alignment horizontal="left"/>
    </xf>
    <xf numFmtId="167" fontId="4" fillId="2" borderId="0" xfId="2" applyNumberFormat="1" applyFont="1" applyFill="1" applyAlignment="1">
      <alignment horizontal="center"/>
    </xf>
    <xf numFmtId="11" fontId="4" fillId="2" borderId="27" xfId="2" applyNumberFormat="1" applyFont="1" applyFill="1" applyBorder="1" applyAlignment="1">
      <alignment horizontal="center"/>
    </xf>
    <xf numFmtId="0" fontId="4" fillId="2" borderId="14" xfId="2" applyFont="1" applyFill="1" applyBorder="1" applyAlignment="1">
      <alignment horizontal="left"/>
    </xf>
    <xf numFmtId="11" fontId="4" fillId="2" borderId="17" xfId="2" applyNumberFormat="1" applyFont="1" applyFill="1" applyBorder="1" applyAlignment="1">
      <alignment horizontal="center"/>
    </xf>
    <xf numFmtId="0" fontId="4" fillId="2" borderId="15" xfId="2" applyFont="1" applyFill="1" applyBorder="1"/>
    <xf numFmtId="0" fontId="13" fillId="2" borderId="1" xfId="2" applyFont="1" applyFill="1" applyBorder="1"/>
    <xf numFmtId="0" fontId="13" fillId="2" borderId="14" xfId="2" applyFont="1" applyFill="1" applyBorder="1"/>
    <xf numFmtId="0" fontId="6" fillId="2" borderId="17" xfId="2" applyFont="1" applyFill="1" applyBorder="1"/>
    <xf numFmtId="0" fontId="15" fillId="2" borderId="0" xfId="2" applyFont="1" applyFill="1"/>
    <xf numFmtId="0" fontId="6" fillId="2" borderId="27" xfId="2" applyFont="1" applyFill="1" applyBorder="1"/>
    <xf numFmtId="164" fontId="7" fillId="2" borderId="21" xfId="2" applyNumberFormat="1" applyFont="1" applyFill="1" applyBorder="1" applyAlignment="1">
      <alignment horizontal="center"/>
    </xf>
    <xf numFmtId="0" fontId="0" fillId="2" borderId="1" xfId="0" applyFill="1" applyBorder="1"/>
    <xf numFmtId="0" fontId="0" fillId="2" borderId="27" xfId="0" applyFill="1" applyBorder="1"/>
    <xf numFmtId="0" fontId="8" fillId="2" borderId="14" xfId="2" applyFont="1" applyFill="1" applyBorder="1"/>
    <xf numFmtId="0" fontId="2" fillId="2" borderId="27" xfId="2" applyFill="1" applyBorder="1"/>
    <xf numFmtId="0" fontId="13" fillId="2" borderId="51" xfId="2" applyFont="1" applyFill="1" applyBorder="1"/>
    <xf numFmtId="164" fontId="7" fillId="2" borderId="73" xfId="2" applyNumberFormat="1" applyFont="1" applyFill="1" applyBorder="1" applyAlignment="1">
      <alignment horizontal="center"/>
    </xf>
    <xf numFmtId="0" fontId="13" fillId="2" borderId="11" xfId="2" applyFont="1" applyFill="1" applyBorder="1"/>
    <xf numFmtId="0" fontId="13" fillId="2" borderId="19" xfId="2" applyFont="1" applyFill="1" applyBorder="1"/>
    <xf numFmtId="0" fontId="6" fillId="2" borderId="0" xfId="2" applyFont="1" applyFill="1"/>
    <xf numFmtId="0" fontId="0" fillId="2" borderId="19" xfId="0" applyFill="1" applyBorder="1"/>
    <xf numFmtId="0" fontId="8" fillId="2" borderId="11" xfId="2" applyFont="1" applyFill="1" applyBorder="1"/>
    <xf numFmtId="0" fontId="2" fillId="2" borderId="2" xfId="2" applyFill="1" applyBorder="1"/>
    <xf numFmtId="1" fontId="2" fillId="2" borderId="2" xfId="2" applyNumberFormat="1" applyFill="1" applyBorder="1" applyAlignment="1">
      <alignment horizontal="center"/>
    </xf>
    <xf numFmtId="0" fontId="8" fillId="2" borderId="2" xfId="2" applyFont="1" applyFill="1" applyBorder="1" applyAlignment="1">
      <alignment horizontal="center"/>
    </xf>
    <xf numFmtId="0" fontId="2" fillId="2" borderId="21" xfId="2" applyFill="1" applyBorder="1"/>
    <xf numFmtId="0" fontId="0" fillId="0" borderId="40" xfId="0" applyBorder="1" applyAlignment="1">
      <alignment horizontal="center" vertical="center"/>
    </xf>
    <xf numFmtId="2" fontId="18" fillId="2" borderId="50" xfId="0" applyNumberFormat="1" applyFont="1" applyFill="1" applyBorder="1" applyAlignment="1">
      <alignment horizontal="center"/>
    </xf>
    <xf numFmtId="164" fontId="18" fillId="2" borderId="50" xfId="0" applyNumberFormat="1" applyFont="1" applyFill="1" applyBorder="1" applyAlignment="1">
      <alignment horizontal="center"/>
    </xf>
    <xf numFmtId="164" fontId="18" fillId="2" borderId="50" xfId="0" applyNumberFormat="1" applyFont="1" applyFill="1" applyBorder="1" applyAlignment="1">
      <alignment horizontal="center" vertical="center"/>
    </xf>
    <xf numFmtId="2" fontId="4" fillId="2" borderId="51" xfId="0" applyNumberFormat="1" applyFont="1" applyFill="1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165" fontId="48" fillId="7" borderId="9" xfId="0" applyNumberFormat="1" applyFont="1" applyFill="1" applyBorder="1" applyAlignment="1">
      <alignment horizontal="center" vertical="center" wrapText="1"/>
    </xf>
    <xf numFmtId="165" fontId="48" fillId="7" borderId="10" xfId="0" applyNumberFormat="1" applyFont="1" applyFill="1" applyBorder="1" applyAlignment="1">
      <alignment horizontal="center" vertical="center" wrapText="1"/>
    </xf>
    <xf numFmtId="165" fontId="48" fillId="7" borderId="13" xfId="0" applyNumberFormat="1" applyFont="1" applyFill="1" applyBorder="1" applyAlignment="1">
      <alignment horizontal="center" vertical="center" wrapText="1"/>
    </xf>
    <xf numFmtId="165" fontId="49" fillId="7" borderId="7" xfId="0" quotePrefix="1" applyNumberFormat="1" applyFont="1" applyFill="1" applyBorder="1" applyAlignment="1">
      <alignment horizontal="right" vertical="center" wrapText="1"/>
    </xf>
    <xf numFmtId="1" fontId="49" fillId="7" borderId="5" xfId="0" quotePrefix="1" applyNumberFormat="1" applyFont="1" applyFill="1" applyBorder="1" applyAlignment="1">
      <alignment horizontal="right" vertical="center" wrapText="1"/>
    </xf>
    <xf numFmtId="164" fontId="49" fillId="7" borderId="5" xfId="0" quotePrefix="1" applyNumberFormat="1" applyFont="1" applyFill="1" applyBorder="1" applyAlignment="1">
      <alignment horizontal="right" vertical="center" wrapText="1"/>
    </xf>
    <xf numFmtId="165" fontId="48" fillId="7" borderId="24" xfId="0" applyNumberFormat="1" applyFont="1" applyFill="1" applyBorder="1" applyAlignment="1">
      <alignment horizontal="center" vertical="center"/>
    </xf>
    <xf numFmtId="165" fontId="48" fillId="7" borderId="9" xfId="0" applyNumberFormat="1" applyFont="1" applyFill="1" applyBorder="1" applyAlignment="1">
      <alignment horizontal="center" vertical="center"/>
    </xf>
    <xf numFmtId="165" fontId="49" fillId="7" borderId="9" xfId="0" applyNumberFormat="1" applyFont="1" applyFill="1" applyBorder="1" applyAlignment="1">
      <alignment horizontal="center" vertical="center"/>
    </xf>
    <xf numFmtId="165" fontId="48" fillId="7" borderId="13" xfId="0" applyNumberFormat="1" applyFont="1" applyFill="1" applyBorder="1" applyAlignment="1">
      <alignment horizontal="center" vertical="center"/>
    </xf>
    <xf numFmtId="165" fontId="49" fillId="7" borderId="13" xfId="0" applyNumberFormat="1" applyFont="1" applyFill="1" applyBorder="1" applyAlignment="1">
      <alignment horizontal="center" vertical="center"/>
    </xf>
    <xf numFmtId="165" fontId="48" fillId="7" borderId="0" xfId="0" quotePrefix="1" applyNumberFormat="1" applyFont="1" applyFill="1" applyAlignment="1">
      <alignment horizontal="left" vertical="center"/>
    </xf>
    <xf numFmtId="0" fontId="0" fillId="0" borderId="15" xfId="0" applyBorder="1" applyAlignment="1">
      <alignment horizontal="center" vertical="center"/>
    </xf>
    <xf numFmtId="0" fontId="22" fillId="0" borderId="15" xfId="0" applyFont="1" applyBorder="1" applyAlignment="1">
      <alignment horizontal="left" vertical="center"/>
    </xf>
    <xf numFmtId="0" fontId="8" fillId="2" borderId="15" xfId="0" applyFont="1" applyFill="1" applyBorder="1" applyAlignment="1">
      <alignment horizontal="left"/>
    </xf>
    <xf numFmtId="2" fontId="4" fillId="6" borderId="40" xfId="0" applyNumberFormat="1" applyFont="1" applyFill="1" applyBorder="1" applyAlignment="1">
      <alignment horizontal="center" vertical="center"/>
    </xf>
    <xf numFmtId="2" fontId="4" fillId="6" borderId="40" xfId="0" applyNumberFormat="1" applyFont="1" applyFill="1" applyBorder="1" applyAlignment="1">
      <alignment horizontal="center"/>
    </xf>
    <xf numFmtId="2" fontId="4" fillId="6" borderId="50" xfId="0" applyNumberFormat="1" applyFont="1" applyFill="1" applyBorder="1" applyAlignment="1">
      <alignment horizontal="center"/>
    </xf>
    <xf numFmtId="0" fontId="4" fillId="0" borderId="33" xfId="0" applyFont="1" applyBorder="1"/>
    <xf numFmtId="2" fontId="4" fillId="6" borderId="52" xfId="0" applyNumberFormat="1" applyFont="1" applyFill="1" applyBorder="1" applyAlignment="1">
      <alignment horizontal="center"/>
    </xf>
    <xf numFmtId="2" fontId="4" fillId="2" borderId="22" xfId="0" applyNumberFormat="1" applyFont="1" applyFill="1" applyBorder="1" applyAlignment="1">
      <alignment horizontal="center"/>
    </xf>
    <xf numFmtId="2" fontId="4" fillId="2" borderId="41" xfId="0" applyNumberFormat="1" applyFont="1" applyFill="1" applyBorder="1" applyAlignment="1">
      <alignment horizontal="center"/>
    </xf>
    <xf numFmtId="2" fontId="4" fillId="6" borderId="58" xfId="0" applyNumberFormat="1" applyFont="1" applyFill="1" applyBorder="1" applyAlignment="1">
      <alignment horizontal="center"/>
    </xf>
    <xf numFmtId="2" fontId="4" fillId="6" borderId="59" xfId="0" applyNumberFormat="1" applyFont="1" applyFill="1" applyBorder="1" applyAlignment="1">
      <alignment horizontal="center"/>
    </xf>
    <xf numFmtId="2" fontId="4" fillId="6" borderId="50" xfId="0" applyNumberFormat="1" applyFont="1" applyFill="1" applyBorder="1" applyAlignment="1">
      <alignment horizontal="center" vertical="center"/>
    </xf>
    <xf numFmtId="2" fontId="4" fillId="6" borderId="52" xfId="0" applyNumberFormat="1" applyFont="1" applyFill="1" applyBorder="1" applyAlignment="1">
      <alignment horizontal="center" vertical="center"/>
    </xf>
    <xf numFmtId="2" fontId="4" fillId="6" borderId="58" xfId="0" applyNumberFormat="1" applyFont="1" applyFill="1" applyBorder="1" applyAlignment="1">
      <alignment horizontal="center" vertical="center"/>
    </xf>
    <xf numFmtId="2" fontId="4" fillId="6" borderId="59" xfId="0" applyNumberFormat="1" applyFont="1" applyFill="1" applyBorder="1" applyAlignment="1">
      <alignment horizontal="center" vertical="center"/>
    </xf>
    <xf numFmtId="2" fontId="9" fillId="0" borderId="52" xfId="0" applyNumberFormat="1" applyFont="1" applyBorder="1" applyAlignment="1">
      <alignment horizontal="center" vertical="center"/>
    </xf>
    <xf numFmtId="1" fontId="4" fillId="10" borderId="15" xfId="0" applyNumberFormat="1" applyFont="1" applyFill="1" applyBorder="1" applyAlignment="1">
      <alignment horizontal="center" vertical="center"/>
    </xf>
    <xf numFmtId="0" fontId="4" fillId="5" borderId="23" xfId="0" applyFont="1" applyFill="1" applyBorder="1"/>
    <xf numFmtId="0" fontId="0" fillId="5" borderId="23" xfId="0" applyFill="1" applyBorder="1"/>
    <xf numFmtId="0" fontId="0" fillId="5" borderId="31" xfId="0" applyFill="1" applyBorder="1" applyAlignment="1">
      <alignment horizontal="center" vertical="center"/>
    </xf>
    <xf numFmtId="170" fontId="2" fillId="0" borderId="15" xfId="0" applyNumberFormat="1" applyFont="1" applyBorder="1" applyAlignment="1">
      <alignment horizontal="center" vertical="center"/>
    </xf>
    <xf numFmtId="170" fontId="0" fillId="0" borderId="15" xfId="0" applyNumberFormat="1" applyBorder="1" applyAlignment="1">
      <alignment horizontal="center" vertical="center"/>
    </xf>
    <xf numFmtId="0" fontId="35" fillId="0" borderId="14" xfId="0" applyFont="1" applyBorder="1" applyAlignment="1" applyProtection="1">
      <alignment horizontal="center" vertical="center" wrapText="1"/>
      <protection locked="0"/>
    </xf>
    <xf numFmtId="0" fontId="35" fillId="0" borderId="15" xfId="0" applyFont="1" applyBorder="1" applyAlignment="1" applyProtection="1">
      <alignment horizontal="center" vertical="center" wrapText="1"/>
      <protection locked="0"/>
    </xf>
    <xf numFmtId="0" fontId="2" fillId="0" borderId="15" xfId="0" applyFont="1" applyBorder="1" applyAlignment="1">
      <alignment wrapText="1"/>
    </xf>
    <xf numFmtId="0" fontId="2" fillId="0" borderId="15" xfId="0" applyFont="1" applyBorder="1" applyAlignment="1">
      <alignment horizontal="center" wrapText="1"/>
    </xf>
    <xf numFmtId="0" fontId="26" fillId="2" borderId="0" xfId="0" applyFont="1" applyFill="1" applyAlignment="1">
      <alignment horizontal="right" vertical="center"/>
    </xf>
    <xf numFmtId="170" fontId="26" fillId="2" borderId="0" xfId="0" applyNumberFormat="1" applyFont="1" applyFill="1" applyAlignment="1">
      <alignment horizontal="left" vertical="center"/>
    </xf>
    <xf numFmtId="2" fontId="27" fillId="2" borderId="0" xfId="0" applyNumberFormat="1" applyFont="1" applyFill="1" applyAlignment="1">
      <alignment vertical="center"/>
    </xf>
    <xf numFmtId="1" fontId="27" fillId="2" borderId="0" xfId="0" applyNumberFormat="1" applyFont="1" applyFill="1" applyAlignment="1">
      <alignment horizontal="center" vertical="center"/>
    </xf>
    <xf numFmtId="2" fontId="26" fillId="2" borderId="0" xfId="0" applyNumberFormat="1" applyFont="1" applyFill="1" applyAlignment="1">
      <alignment horizontal="center" vertical="center"/>
    </xf>
    <xf numFmtId="168" fontId="26" fillId="2" borderId="0" xfId="0" applyNumberFormat="1" applyFont="1" applyFill="1" applyAlignment="1">
      <alignment horizontal="left" vertical="center"/>
    </xf>
    <xf numFmtId="2" fontId="27" fillId="2" borderId="0" xfId="0" applyNumberFormat="1" applyFont="1" applyFill="1" applyAlignment="1">
      <alignment horizontal="center" vertical="center"/>
    </xf>
    <xf numFmtId="0" fontId="27" fillId="2" borderId="0" xfId="0" applyFont="1" applyFill="1" applyAlignment="1">
      <alignment horizontal="center" vertical="center"/>
    </xf>
    <xf numFmtId="0" fontId="12" fillId="0" borderId="15" xfId="0" applyFont="1" applyBorder="1" applyAlignment="1">
      <alignment horizontal="center" vertical="center" wrapText="1"/>
    </xf>
    <xf numFmtId="0" fontId="22" fillId="0" borderId="0" xfId="0" applyFont="1" applyAlignment="1">
      <alignment horizontal="center" vertical="center" wrapText="1"/>
    </xf>
    <xf numFmtId="0" fontId="21" fillId="0" borderId="0" xfId="0" applyFont="1" applyAlignment="1">
      <alignment horizontal="left" vertical="center"/>
    </xf>
    <xf numFmtId="0" fontId="21" fillId="0" borderId="0" xfId="0" applyFont="1" applyAlignment="1">
      <alignment horizontal="right" vertical="center" wrapText="1"/>
    </xf>
    <xf numFmtId="0" fontId="22" fillId="0" borderId="0" xfId="0" applyFont="1" applyAlignment="1">
      <alignment vertical="center" wrapText="1"/>
    </xf>
    <xf numFmtId="0" fontId="3" fillId="8" borderId="15" xfId="0" applyFont="1" applyFill="1" applyBorder="1" applyAlignment="1">
      <alignment horizontal="center"/>
    </xf>
    <xf numFmtId="0" fontId="21" fillId="0" borderId="0" xfId="0" applyFont="1" applyAlignment="1">
      <alignment horizontal="center" vertical="center" wrapText="1"/>
    </xf>
    <xf numFmtId="0" fontId="27" fillId="0" borderId="0" xfId="0" applyFont="1" applyAlignment="1">
      <alignment horizontal="left" vertical="center"/>
    </xf>
    <xf numFmtId="178" fontId="2" fillId="2" borderId="10" xfId="0" quotePrefix="1" applyNumberFormat="1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vertical="center"/>
    </xf>
    <xf numFmtId="0" fontId="2" fillId="2" borderId="6" xfId="0" applyFont="1" applyFill="1" applyBorder="1" applyAlignment="1">
      <alignment vertical="center"/>
    </xf>
    <xf numFmtId="176" fontId="2" fillId="2" borderId="10" xfId="0" quotePrefix="1" applyNumberFormat="1" applyFont="1" applyFill="1" applyBorder="1" applyAlignment="1">
      <alignment horizontal="center" vertical="center" wrapText="1"/>
    </xf>
    <xf numFmtId="177" fontId="2" fillId="2" borderId="13" xfId="0" quotePrefix="1" applyNumberFormat="1" applyFont="1" applyFill="1" applyBorder="1" applyAlignment="1">
      <alignment horizontal="center" vertical="center" wrapText="1"/>
    </xf>
    <xf numFmtId="0" fontId="26" fillId="2" borderId="0" xfId="0" applyFont="1" applyFill="1" applyAlignment="1">
      <alignment horizontal="left" vertical="center"/>
    </xf>
    <xf numFmtId="0" fontId="27" fillId="2" borderId="0" xfId="0" applyFont="1" applyFill="1" applyAlignment="1">
      <alignment vertical="center" wrapText="1"/>
    </xf>
    <xf numFmtId="165" fontId="21" fillId="2" borderId="9" xfId="1" applyNumberFormat="1" applyFont="1" applyFill="1" applyBorder="1" applyAlignment="1" applyProtection="1">
      <alignment horizontal="center" vertical="center"/>
    </xf>
    <xf numFmtId="2" fontId="26" fillId="2" borderId="0" xfId="1" applyNumberFormat="1" applyFont="1" applyFill="1" applyAlignment="1" applyProtection="1">
      <alignment vertical="center" wrapText="1"/>
    </xf>
    <xf numFmtId="165" fontId="3" fillId="8" borderId="15" xfId="1" quotePrefix="1" applyNumberFormat="1" applyFont="1" applyFill="1" applyBorder="1" applyAlignment="1" applyProtection="1">
      <alignment horizontal="center" vertical="center" wrapText="1"/>
    </xf>
    <xf numFmtId="165" fontId="3" fillId="8" borderId="15" xfId="0" applyNumberFormat="1" applyFont="1" applyFill="1" applyBorder="1" applyAlignment="1">
      <alignment horizontal="center" vertical="center"/>
    </xf>
    <xf numFmtId="165" fontId="21" fillId="2" borderId="13" xfId="1" applyNumberFormat="1" applyFont="1" applyFill="1" applyBorder="1" applyAlignment="1" applyProtection="1">
      <alignment horizontal="center" vertical="center"/>
    </xf>
    <xf numFmtId="2" fontId="26" fillId="2" borderId="0" xfId="1" applyNumberFormat="1" applyFont="1" applyFill="1" applyBorder="1" applyAlignment="1" applyProtection="1">
      <alignment horizontal="center" vertical="center"/>
    </xf>
    <xf numFmtId="2" fontId="26" fillId="2" borderId="0" xfId="1" applyNumberFormat="1" applyFont="1" applyFill="1" applyAlignment="1" applyProtection="1">
      <alignment horizontal="center" vertical="center" wrapText="1"/>
    </xf>
    <xf numFmtId="0" fontId="26" fillId="2" borderId="0" xfId="0" quotePrefix="1" applyFont="1" applyFill="1" applyAlignment="1">
      <alignment vertical="center" wrapText="1"/>
    </xf>
    <xf numFmtId="0" fontId="36" fillId="2" borderId="0" xfId="0" quotePrefix="1" applyFont="1" applyFill="1" applyAlignment="1">
      <alignment horizontal="right" vertical="center"/>
    </xf>
    <xf numFmtId="164" fontId="26" fillId="2" borderId="0" xfId="0" applyNumberFormat="1" applyFont="1" applyFill="1" applyAlignment="1">
      <alignment horizontal="left" vertical="center"/>
    </xf>
    <xf numFmtId="166" fontId="26" fillId="2" borderId="0" xfId="0" applyNumberFormat="1" applyFont="1" applyFill="1" applyAlignment="1">
      <alignment horizontal="center" vertical="center"/>
    </xf>
    <xf numFmtId="165" fontId="21" fillId="2" borderId="0" xfId="0" applyNumberFormat="1" applyFont="1" applyFill="1" applyAlignment="1">
      <alignment vertical="center"/>
    </xf>
    <xf numFmtId="2" fontId="21" fillId="2" borderId="0" xfId="0" applyNumberFormat="1" applyFont="1" applyFill="1" applyAlignment="1">
      <alignment vertical="center"/>
    </xf>
    <xf numFmtId="2" fontId="21" fillId="2" borderId="9" xfId="1" applyNumberFormat="1" applyFont="1" applyFill="1" applyBorder="1" applyAlignment="1" applyProtection="1">
      <alignment horizontal="center" vertical="center"/>
    </xf>
    <xf numFmtId="2" fontId="3" fillId="8" borderId="15" xfId="1" quotePrefix="1" applyNumberFormat="1" applyFont="1" applyFill="1" applyBorder="1" applyAlignment="1" applyProtection="1">
      <alignment horizontal="center" vertical="center" wrapText="1"/>
    </xf>
    <xf numFmtId="2" fontId="3" fillId="8" borderId="15" xfId="0" applyNumberFormat="1" applyFont="1" applyFill="1" applyBorder="1" applyAlignment="1">
      <alignment horizontal="center" vertical="center"/>
    </xf>
    <xf numFmtId="0" fontId="21" fillId="2" borderId="14" xfId="0" applyFont="1" applyFill="1" applyBorder="1" applyAlignment="1">
      <alignment horizontal="left" vertical="center"/>
    </xf>
    <xf numFmtId="0" fontId="21" fillId="2" borderId="16" xfId="0" applyFont="1" applyFill="1" applyBorder="1" applyAlignment="1">
      <alignment horizontal="left" vertical="center"/>
    </xf>
    <xf numFmtId="0" fontId="21" fillId="2" borderId="17" xfId="0" applyFont="1" applyFill="1" applyBorder="1" applyAlignment="1">
      <alignment horizontal="left" vertical="center"/>
    </xf>
    <xf numFmtId="165" fontId="21" fillId="2" borderId="14" xfId="0" applyNumberFormat="1" applyFont="1" applyFill="1" applyBorder="1"/>
    <xf numFmtId="165" fontId="21" fillId="2" borderId="17" xfId="0" applyNumberFormat="1" applyFont="1" applyFill="1" applyBorder="1"/>
    <xf numFmtId="167" fontId="21" fillId="2" borderId="14" xfId="0" applyNumberFormat="1" applyFont="1" applyFill="1" applyBorder="1" applyAlignment="1">
      <alignment horizontal="left" vertical="center"/>
    </xf>
    <xf numFmtId="165" fontId="21" fillId="2" borderId="11" xfId="0" applyNumberFormat="1" applyFont="1" applyFill="1" applyBorder="1"/>
    <xf numFmtId="165" fontId="21" fillId="2" borderId="21" xfId="0" applyNumberFormat="1" applyFont="1" applyFill="1" applyBorder="1"/>
    <xf numFmtId="167" fontId="26" fillId="2" borderId="0" xfId="0" applyNumberFormat="1" applyFont="1" applyFill="1" applyAlignment="1">
      <alignment vertical="center"/>
    </xf>
    <xf numFmtId="0" fontId="26" fillId="2" borderId="0" xfId="0" applyFont="1" applyFill="1" applyAlignment="1" applyProtection="1">
      <alignment horizontal="left" vertical="center"/>
      <protection locked="0"/>
    </xf>
    <xf numFmtId="0" fontId="26" fillId="2" borderId="0" xfId="0" applyFont="1" applyFill="1" applyAlignment="1" applyProtection="1">
      <alignment vertical="center" wrapText="1"/>
      <protection locked="0"/>
    </xf>
    <xf numFmtId="0" fontId="21" fillId="0" borderId="0" xfId="0" applyFont="1" applyAlignment="1">
      <alignment horizontal="right" vertical="center"/>
    </xf>
    <xf numFmtId="175" fontId="21" fillId="0" borderId="0" xfId="0" applyNumberFormat="1" applyFont="1" applyAlignment="1">
      <alignment horizontal="left" vertical="center"/>
    </xf>
    <xf numFmtId="0" fontId="22" fillId="0" borderId="0" xfId="0" applyFont="1" applyAlignment="1">
      <alignment vertical="center"/>
    </xf>
    <xf numFmtId="0" fontId="22" fillId="2" borderId="15" xfId="0" applyFont="1" applyFill="1" applyBorder="1" applyAlignment="1">
      <alignment horizontal="center" vertical="center" wrapText="1"/>
    </xf>
    <xf numFmtId="0" fontId="21" fillId="2" borderId="9" xfId="0" applyFont="1" applyFill="1" applyBorder="1" applyAlignment="1">
      <alignment horizontal="center" vertical="center"/>
    </xf>
    <xf numFmtId="0" fontId="21" fillId="2" borderId="3" xfId="0" applyFont="1" applyFill="1" applyBorder="1" applyAlignment="1">
      <alignment vertical="center"/>
    </xf>
    <xf numFmtId="0" fontId="21" fillId="2" borderId="24" xfId="0" applyFont="1" applyFill="1" applyBorder="1" applyAlignment="1">
      <alignment vertical="center"/>
    </xf>
    <xf numFmtId="0" fontId="21" fillId="2" borderId="4" xfId="0" applyFont="1" applyFill="1" applyBorder="1" applyAlignment="1">
      <alignment vertical="center"/>
    </xf>
    <xf numFmtId="180" fontId="21" fillId="2" borderId="3" xfId="0" applyNumberFormat="1" applyFont="1" applyFill="1" applyBorder="1" applyAlignment="1">
      <alignment horizontal="right" vertical="center" wrapText="1"/>
    </xf>
    <xf numFmtId="0" fontId="21" fillId="2" borderId="4" xfId="0" applyFont="1" applyFill="1" applyBorder="1" applyAlignment="1">
      <alignment vertical="center" wrapText="1"/>
    </xf>
    <xf numFmtId="0" fontId="21" fillId="2" borderId="10" xfId="0" applyFont="1" applyFill="1" applyBorder="1" applyAlignment="1">
      <alignment horizontal="center" vertical="center"/>
    </xf>
    <xf numFmtId="0" fontId="21" fillId="2" borderId="26" xfId="0" applyFont="1" applyFill="1" applyBorder="1" applyAlignment="1">
      <alignment vertical="center"/>
    </xf>
    <xf numFmtId="0" fontId="21" fillId="2" borderId="6" xfId="0" applyFont="1" applyFill="1" applyBorder="1" applyAlignment="1">
      <alignment vertical="center"/>
    </xf>
    <xf numFmtId="182" fontId="21" fillId="2" borderId="5" xfId="0" applyNumberFormat="1" applyFont="1" applyFill="1" applyBorder="1" applyAlignment="1">
      <alignment horizontal="right" vertical="center" wrapText="1"/>
    </xf>
    <xf numFmtId="0" fontId="21" fillId="2" borderId="6" xfId="0" applyFont="1" applyFill="1" applyBorder="1" applyAlignment="1">
      <alignment vertical="center" wrapText="1"/>
    </xf>
    <xf numFmtId="0" fontId="21" fillId="2" borderId="13" xfId="0" applyFont="1" applyFill="1" applyBorder="1" applyAlignment="1">
      <alignment horizontal="center" vertical="center"/>
    </xf>
    <xf numFmtId="0" fontId="21" fillId="0" borderId="25" xfId="0" applyFont="1" applyBorder="1" applyAlignment="1">
      <alignment vertical="center"/>
    </xf>
    <xf numFmtId="0" fontId="21" fillId="0" borderId="8" xfId="0" applyFont="1" applyBorder="1" applyAlignment="1">
      <alignment vertical="center"/>
    </xf>
    <xf numFmtId="172" fontId="21" fillId="2" borderId="7" xfId="0" applyNumberFormat="1" applyFont="1" applyFill="1" applyBorder="1" applyAlignment="1">
      <alignment horizontal="right" vertical="center" wrapText="1"/>
    </xf>
    <xf numFmtId="0" fontId="21" fillId="2" borderId="8" xfId="0" applyFont="1" applyFill="1" applyBorder="1" applyAlignment="1">
      <alignment horizontal="left" vertical="center"/>
    </xf>
    <xf numFmtId="177" fontId="21" fillId="2" borderId="0" xfId="0" quotePrefix="1" applyNumberFormat="1" applyFont="1" applyFill="1" applyAlignment="1">
      <alignment horizontal="center" vertical="center" wrapText="1"/>
    </xf>
    <xf numFmtId="172" fontId="21" fillId="2" borderId="0" xfId="0" applyNumberFormat="1" applyFont="1" applyFill="1" applyAlignment="1">
      <alignment horizontal="right" vertical="center" wrapText="1"/>
    </xf>
    <xf numFmtId="0" fontId="22" fillId="0" borderId="0" xfId="0" applyFont="1" applyAlignment="1">
      <alignment horizontal="left" vertical="center"/>
    </xf>
    <xf numFmtId="2" fontId="22" fillId="2" borderId="0" xfId="0" applyNumberFormat="1" applyFont="1" applyFill="1" applyAlignment="1">
      <alignment vertical="center" wrapText="1"/>
    </xf>
    <xf numFmtId="165" fontId="21" fillId="0" borderId="0" xfId="0" applyNumberFormat="1" applyFont="1" applyAlignment="1">
      <alignment horizontal="center" vertical="center" wrapText="1"/>
    </xf>
    <xf numFmtId="0" fontId="21" fillId="0" borderId="0" xfId="0" quotePrefix="1" applyFont="1" applyAlignment="1">
      <alignment vertical="center" wrapText="1"/>
    </xf>
    <xf numFmtId="169" fontId="21" fillId="0" borderId="0" xfId="0" applyNumberFormat="1" applyFont="1" applyAlignment="1">
      <alignment horizontal="center" vertical="center" wrapText="1"/>
    </xf>
    <xf numFmtId="0" fontId="30" fillId="0" borderId="0" xfId="0" quotePrefix="1" applyFont="1" applyAlignment="1">
      <alignment horizontal="right" vertical="center" wrapText="1"/>
    </xf>
    <xf numFmtId="0" fontId="22" fillId="0" borderId="0" xfId="0" applyFont="1" applyAlignment="1" applyProtection="1">
      <alignment vertical="center"/>
      <protection locked="0"/>
    </xf>
    <xf numFmtId="0" fontId="21" fillId="0" borderId="0" xfId="0" applyFont="1" applyAlignment="1" applyProtection="1">
      <alignment horizontal="left" vertical="center"/>
      <protection locked="0"/>
    </xf>
    <xf numFmtId="0" fontId="20" fillId="7" borderId="0" xfId="0" applyFont="1" applyFill="1" applyAlignment="1">
      <alignment horizontal="center" vertical="center" wrapText="1"/>
    </xf>
    <xf numFmtId="0" fontId="41" fillId="2" borderId="0" xfId="0" applyFont="1" applyFill="1" applyAlignment="1">
      <alignment horizontal="left" vertical="center"/>
    </xf>
    <xf numFmtId="0" fontId="41" fillId="2" borderId="0" xfId="0" applyFont="1" applyFill="1" applyAlignment="1">
      <alignment horizontal="center" vertical="center"/>
    </xf>
    <xf numFmtId="165" fontId="41" fillId="7" borderId="0" xfId="0" quotePrefix="1" applyNumberFormat="1" applyFont="1" applyFill="1" applyAlignment="1">
      <alignment horizontal="right" vertical="center"/>
    </xf>
    <xf numFmtId="181" fontId="41" fillId="2" borderId="0" xfId="0" applyNumberFormat="1" applyFont="1" applyFill="1" applyAlignment="1">
      <alignment horizontal="right" vertical="center" wrapText="1"/>
    </xf>
    <xf numFmtId="0" fontId="21" fillId="0" borderId="15" xfId="0" applyFont="1" applyBorder="1" applyAlignment="1">
      <alignment horizontal="center" vertical="center"/>
    </xf>
    <xf numFmtId="0" fontId="21" fillId="0" borderId="15" xfId="0" applyFont="1" applyBorder="1" applyAlignment="1">
      <alignment horizontal="center" vertical="center" wrapText="1"/>
    </xf>
    <xf numFmtId="165" fontId="51" fillId="0" borderId="14" xfId="0" applyNumberFormat="1" applyFont="1" applyBorder="1" applyAlignment="1" applyProtection="1">
      <alignment horizontal="center" vertical="center"/>
      <protection locked="0"/>
    </xf>
    <xf numFmtId="184" fontId="21" fillId="0" borderId="15" xfId="0" applyNumberFormat="1" applyFont="1" applyBorder="1" applyAlignment="1">
      <alignment horizontal="center" vertical="center"/>
    </xf>
    <xf numFmtId="0" fontId="22" fillId="0" borderId="15" xfId="0" applyFont="1" applyBorder="1" applyAlignment="1">
      <alignment horizontal="center" vertical="center"/>
    </xf>
    <xf numFmtId="2" fontId="21" fillId="0" borderId="15" xfId="0" applyNumberFormat="1" applyFont="1" applyBorder="1" applyAlignment="1">
      <alignment horizontal="center" vertical="center"/>
    </xf>
    <xf numFmtId="0" fontId="2" fillId="0" borderId="14" xfId="3" applyBorder="1" applyAlignment="1">
      <alignment vertical="center"/>
    </xf>
    <xf numFmtId="0" fontId="0" fillId="0" borderId="16" xfId="0" applyBorder="1"/>
    <xf numFmtId="0" fontId="0" fillId="0" borderId="17" xfId="0" applyBorder="1"/>
    <xf numFmtId="0" fontId="53" fillId="0" borderId="0" xfId="0" applyFont="1" applyAlignment="1">
      <alignment vertical="center"/>
    </xf>
    <xf numFmtId="0" fontId="2" fillId="0" borderId="11" xfId="3" applyBorder="1" applyAlignment="1">
      <alignment vertical="center"/>
    </xf>
    <xf numFmtId="0" fontId="2" fillId="2" borderId="12" xfId="0" applyFont="1" applyFill="1" applyBorder="1" applyAlignment="1">
      <alignment vertical="center"/>
    </xf>
    <xf numFmtId="0" fontId="0" fillId="0" borderId="12" xfId="0" applyBorder="1"/>
    <xf numFmtId="2" fontId="2" fillId="0" borderId="0" xfId="0" applyNumberFormat="1" applyFont="1"/>
    <xf numFmtId="2" fontId="56" fillId="0" borderId="15" xfId="2" applyNumberFormat="1" applyFont="1" applyBorder="1" applyAlignment="1">
      <alignment horizontal="center" vertical="center"/>
    </xf>
    <xf numFmtId="2" fontId="32" fillId="0" borderId="15" xfId="0" applyNumberFormat="1" applyFont="1" applyBorder="1" applyAlignment="1">
      <alignment horizontal="center" vertical="center"/>
    </xf>
    <xf numFmtId="2" fontId="32" fillId="0" borderId="15" xfId="0" quotePrefix="1" applyNumberFormat="1" applyFont="1" applyBorder="1" applyAlignment="1">
      <alignment horizontal="center" vertical="center"/>
    </xf>
    <xf numFmtId="2" fontId="32" fillId="2" borderId="0" xfId="0" applyNumberFormat="1" applyFont="1" applyFill="1" applyAlignment="1">
      <alignment horizontal="center" vertical="center"/>
    </xf>
    <xf numFmtId="2" fontId="2" fillId="0" borderId="15" xfId="2" applyNumberFormat="1" applyBorder="1" applyAlignment="1">
      <alignment horizontal="center" vertical="center"/>
    </xf>
    <xf numFmtId="2" fontId="2" fillId="0" borderId="15" xfId="0" applyNumberFormat="1" applyFont="1" applyBorder="1" applyAlignment="1">
      <alignment horizontal="center" vertical="center"/>
    </xf>
    <xf numFmtId="2" fontId="2" fillId="0" borderId="15" xfId="0" applyNumberFormat="1" applyFont="1" applyBorder="1" applyAlignment="1">
      <alignment horizontal="center"/>
    </xf>
    <xf numFmtId="2" fontId="2" fillId="0" borderId="15" xfId="0" quotePrefix="1" applyNumberFormat="1" applyFont="1" applyBorder="1" applyAlignment="1">
      <alignment horizontal="center" vertical="center"/>
    </xf>
    <xf numFmtId="2" fontId="2" fillId="2" borderId="0" xfId="0" quotePrefix="1" applyNumberFormat="1" applyFont="1" applyFill="1" applyAlignment="1">
      <alignment horizontal="center" vertical="center"/>
    </xf>
    <xf numFmtId="2" fontId="2" fillId="2" borderId="35" xfId="0" applyNumberFormat="1" applyFont="1" applyFill="1" applyBorder="1"/>
    <xf numFmtId="2" fontId="2" fillId="0" borderId="36" xfId="0" applyNumberFormat="1" applyFont="1" applyBorder="1"/>
    <xf numFmtId="2" fontId="26" fillId="2" borderId="35" xfId="0" applyNumberFormat="1" applyFont="1" applyFill="1" applyBorder="1" applyAlignment="1">
      <alignment horizontal="center" vertical="center" wrapText="1"/>
    </xf>
    <xf numFmtId="2" fontId="2" fillId="0" borderId="0" xfId="0" applyNumberFormat="1" applyFont="1" applyAlignment="1">
      <alignment horizontal="center" vertical="center"/>
    </xf>
    <xf numFmtId="2" fontId="2" fillId="0" borderId="0" xfId="0" quotePrefix="1" applyNumberFormat="1" applyFont="1" applyAlignment="1">
      <alignment horizontal="center" vertical="center"/>
    </xf>
    <xf numFmtId="2" fontId="26" fillId="0" borderId="0" xfId="0" applyNumberFormat="1" applyFont="1" applyAlignment="1">
      <alignment horizontal="center" vertical="center" wrapText="1"/>
    </xf>
    <xf numFmtId="2" fontId="2" fillId="0" borderId="0" xfId="0" applyNumberFormat="1" applyFont="1" applyAlignment="1">
      <alignment horizontal="right" vertical="center"/>
    </xf>
    <xf numFmtId="2" fontId="26" fillId="2" borderId="0" xfId="0" applyNumberFormat="1" applyFont="1" applyFill="1" applyAlignment="1">
      <alignment horizontal="center" vertical="center" wrapText="1"/>
    </xf>
    <xf numFmtId="2" fontId="2" fillId="0" borderId="0" xfId="0" applyNumberFormat="1" applyFont="1" applyAlignment="1">
      <alignment horizontal="center"/>
    </xf>
    <xf numFmtId="2" fontId="2" fillId="0" borderId="35" xfId="0" applyNumberFormat="1" applyFont="1" applyBorder="1"/>
    <xf numFmtId="2" fontId="6" fillId="10" borderId="15" xfId="2" applyNumberFormat="1" applyFont="1" applyFill="1" applyBorder="1"/>
    <xf numFmtId="2" fontId="2" fillId="2" borderId="15" xfId="0" applyNumberFormat="1" applyFont="1" applyFill="1" applyBorder="1" applyAlignment="1">
      <alignment horizontal="center" vertical="center" wrapText="1"/>
    </xf>
    <xf numFmtId="2" fontId="2" fillId="0" borderId="15" xfId="0" applyNumberFormat="1" applyFont="1" applyBorder="1"/>
    <xf numFmtId="2" fontId="2" fillId="10" borderId="15" xfId="0" applyNumberFormat="1" applyFont="1" applyFill="1" applyBorder="1" applyAlignment="1">
      <alignment horizontal="center"/>
    </xf>
    <xf numFmtId="2" fontId="2" fillId="2" borderId="15" xfId="0" applyNumberFormat="1" applyFont="1" applyFill="1" applyBorder="1"/>
    <xf numFmtId="2" fontId="2" fillId="2" borderId="15" xfId="0" applyNumberFormat="1" applyFont="1" applyFill="1" applyBorder="1" applyAlignment="1">
      <alignment horizontal="center"/>
    </xf>
    <xf numFmtId="2" fontId="32" fillId="10" borderId="15" xfId="0" applyNumberFormat="1" applyFont="1" applyFill="1" applyBorder="1" applyAlignment="1">
      <alignment horizontal="center" vertical="center"/>
    </xf>
    <xf numFmtId="2" fontId="56" fillId="10" borderId="15" xfId="2" applyNumberFormat="1" applyFont="1" applyFill="1" applyBorder="1" applyAlignment="1">
      <alignment horizontal="center" vertical="center"/>
    </xf>
    <xf numFmtId="2" fontId="58" fillId="2" borderId="15" xfId="0" applyNumberFormat="1" applyFont="1" applyFill="1" applyBorder="1" applyAlignment="1">
      <alignment horizontal="center" vertical="center"/>
    </xf>
    <xf numFmtId="2" fontId="18" fillId="2" borderId="15" xfId="0" applyNumberFormat="1" applyFont="1" applyFill="1" applyBorder="1" applyAlignment="1">
      <alignment horizontal="center" vertical="center" wrapText="1"/>
    </xf>
    <xf numFmtId="2" fontId="2" fillId="2" borderId="64" xfId="0" applyNumberFormat="1" applyFont="1" applyFill="1" applyBorder="1"/>
    <xf numFmtId="2" fontId="18" fillId="2" borderId="0" xfId="0" applyNumberFormat="1" applyFont="1" applyFill="1" applyAlignment="1">
      <alignment horizontal="center" vertical="center"/>
    </xf>
    <xf numFmtId="2" fontId="56" fillId="2" borderId="15" xfId="2" applyNumberFormat="1" applyFont="1" applyFill="1" applyBorder="1" applyAlignment="1">
      <alignment horizontal="center" vertical="center"/>
    </xf>
    <xf numFmtId="164" fontId="18" fillId="2" borderId="15" xfId="0" applyNumberFormat="1" applyFont="1" applyFill="1" applyBorder="1" applyAlignment="1">
      <alignment horizontal="center" vertical="center" wrapText="1"/>
    </xf>
    <xf numFmtId="2" fontId="18" fillId="2" borderId="0" xfId="0" applyNumberFormat="1" applyFont="1" applyFill="1" applyAlignment="1">
      <alignment horizontal="center" vertical="center" wrapText="1"/>
    </xf>
    <xf numFmtId="2" fontId="6" fillId="2" borderId="39" xfId="2" applyNumberFormat="1" applyFont="1" applyFill="1" applyBorder="1" applyAlignment="1">
      <alignment horizontal="center" vertical="center"/>
    </xf>
    <xf numFmtId="2" fontId="9" fillId="0" borderId="40" xfId="0" applyNumberFormat="1" applyFont="1" applyBorder="1" applyAlignment="1">
      <alignment vertical="center"/>
    </xf>
    <xf numFmtId="2" fontId="4" fillId="2" borderId="53" xfId="0" applyNumberFormat="1" applyFont="1" applyFill="1" applyBorder="1"/>
    <xf numFmtId="2" fontId="4" fillId="2" borderId="0" xfId="0" applyNumberFormat="1" applyFont="1" applyFill="1"/>
    <xf numFmtId="2" fontId="4" fillId="0" borderId="0" xfId="0" applyNumberFormat="1" applyFont="1"/>
    <xf numFmtId="2" fontId="18" fillId="2" borderId="36" xfId="0" applyNumberFormat="1" applyFont="1" applyFill="1" applyBorder="1" applyAlignment="1">
      <alignment horizontal="center" vertical="center"/>
    </xf>
    <xf numFmtId="2" fontId="18" fillId="0" borderId="0" xfId="0" applyNumberFormat="1" applyFont="1" applyAlignment="1">
      <alignment horizontal="center" vertical="center"/>
    </xf>
    <xf numFmtId="2" fontId="6" fillId="10" borderId="37" xfId="0" applyNumberFormat="1" applyFont="1" applyFill="1" applyBorder="1"/>
    <xf numFmtId="2" fontId="6" fillId="10" borderId="16" xfId="0" applyNumberFormat="1" applyFont="1" applyFill="1" applyBorder="1" applyAlignment="1">
      <alignment horizontal="center" vertical="center"/>
    </xf>
    <xf numFmtId="2" fontId="4" fillId="10" borderId="16" xfId="0" applyNumberFormat="1" applyFont="1" applyFill="1" applyBorder="1" applyAlignment="1">
      <alignment horizontal="center" vertical="center"/>
    </xf>
    <xf numFmtId="2" fontId="4" fillId="10" borderId="16" xfId="0" applyNumberFormat="1" applyFont="1" applyFill="1" applyBorder="1" applyAlignment="1">
      <alignment vertical="center"/>
    </xf>
    <xf numFmtId="1" fontId="4" fillId="10" borderId="15" xfId="0" applyNumberFormat="1" applyFont="1" applyFill="1" applyBorder="1" applyAlignment="1">
      <alignment vertical="center"/>
    </xf>
    <xf numFmtId="1" fontId="4" fillId="10" borderId="40" xfId="0" applyNumberFormat="1" applyFont="1" applyFill="1" applyBorder="1" applyAlignment="1">
      <alignment horizontal="center" vertical="center"/>
    </xf>
    <xf numFmtId="1" fontId="35" fillId="0" borderId="39" xfId="0" applyNumberFormat="1" applyFont="1" applyBorder="1" applyAlignment="1">
      <alignment horizontal="center" vertical="center"/>
    </xf>
    <xf numFmtId="2" fontId="35" fillId="0" borderId="14" xfId="0" applyNumberFormat="1" applyFont="1" applyBorder="1"/>
    <xf numFmtId="2" fontId="35" fillId="0" borderId="16" xfId="0" applyNumberFormat="1" applyFont="1" applyBorder="1"/>
    <xf numFmtId="2" fontId="35" fillId="0" borderId="38" xfId="0" applyNumberFormat="1" applyFont="1" applyBorder="1"/>
    <xf numFmtId="1" fontId="4" fillId="10" borderId="15" xfId="0" applyNumberFormat="1" applyFont="1" applyFill="1" applyBorder="1" applyAlignment="1">
      <alignment horizontal="right" vertical="center"/>
    </xf>
    <xf numFmtId="2" fontId="4" fillId="10" borderId="23" xfId="0" applyNumberFormat="1" applyFont="1" applyFill="1" applyBorder="1" applyAlignment="1">
      <alignment horizontal="center" vertical="center"/>
    </xf>
    <xf numFmtId="2" fontId="4" fillId="10" borderId="23" xfId="0" applyNumberFormat="1" applyFont="1" applyFill="1" applyBorder="1" applyAlignment="1">
      <alignment vertical="center"/>
    </xf>
    <xf numFmtId="2" fontId="35" fillId="0" borderId="0" xfId="0" applyNumberFormat="1" applyFont="1"/>
    <xf numFmtId="2" fontId="35" fillId="0" borderId="36" xfId="0" applyNumberFormat="1" applyFont="1" applyBorder="1"/>
    <xf numFmtId="2" fontId="35" fillId="9" borderId="32" xfId="0" applyNumberFormat="1" applyFont="1" applyFill="1" applyBorder="1"/>
    <xf numFmtId="2" fontId="35" fillId="9" borderId="33" xfId="0" applyNumberFormat="1" applyFont="1" applyFill="1" applyBorder="1"/>
    <xf numFmtId="2" fontId="35" fillId="0" borderId="33" xfId="0" applyNumberFormat="1" applyFont="1" applyBorder="1"/>
    <xf numFmtId="2" fontId="35" fillId="0" borderId="34" xfId="0" applyNumberFormat="1" applyFont="1" applyBorder="1"/>
    <xf numFmtId="1" fontId="2" fillId="8" borderId="15" xfId="0" applyNumberFormat="1" applyFont="1" applyFill="1" applyBorder="1" applyAlignment="1">
      <alignment vertical="center"/>
    </xf>
    <xf numFmtId="0" fontId="2" fillId="0" borderId="7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60" fillId="9" borderId="15" xfId="0" applyFont="1" applyFill="1" applyBorder="1" applyAlignment="1">
      <alignment horizontal="center" vertical="center"/>
    </xf>
    <xf numFmtId="1" fontId="21" fillId="2" borderId="15" xfId="0" applyNumberFormat="1" applyFont="1" applyFill="1" applyBorder="1" applyAlignment="1">
      <alignment horizontal="center" vertical="center"/>
    </xf>
    <xf numFmtId="2" fontId="21" fillId="9" borderId="15" xfId="0" applyNumberFormat="1" applyFont="1" applyFill="1" applyBorder="1" applyAlignment="1">
      <alignment horizontal="center" vertical="center"/>
    </xf>
    <xf numFmtId="164" fontId="21" fillId="9" borderId="15" xfId="0" applyNumberFormat="1" applyFont="1" applyFill="1" applyBorder="1" applyAlignment="1">
      <alignment horizontal="center" vertical="center"/>
    </xf>
    <xf numFmtId="164" fontId="21" fillId="2" borderId="0" xfId="0" applyNumberFormat="1" applyFont="1" applyFill="1" applyAlignment="1">
      <alignment horizontal="center" vertical="center"/>
    </xf>
    <xf numFmtId="0" fontId="21" fillId="0" borderId="0" xfId="0" applyFont="1"/>
    <xf numFmtId="0" fontId="48" fillId="0" borderId="0" xfId="0" applyFont="1"/>
    <xf numFmtId="164" fontId="2" fillId="0" borderId="0" xfId="0" quotePrefix="1" applyNumberFormat="1" applyFont="1" applyAlignment="1">
      <alignment horizontal="center" vertical="center"/>
    </xf>
    <xf numFmtId="187" fontId="2" fillId="0" borderId="15" xfId="0" applyNumberFormat="1" applyFont="1" applyBorder="1" applyAlignment="1">
      <alignment horizontal="center" vertical="center"/>
    </xf>
    <xf numFmtId="2" fontId="2" fillId="0" borderId="15" xfId="0" applyNumberFormat="1" applyFont="1" applyBorder="1" applyAlignment="1">
      <alignment horizontal="center" vertical="center" wrapText="1"/>
    </xf>
    <xf numFmtId="0" fontId="2" fillId="2" borderId="0" xfId="0" quotePrefix="1" applyFont="1" applyFill="1" applyAlignment="1">
      <alignment vertical="center"/>
    </xf>
    <xf numFmtId="2" fontId="37" fillId="2" borderId="3" xfId="0" applyNumberFormat="1" applyFont="1" applyFill="1" applyBorder="1" applyAlignment="1">
      <alignment horizontal="right" vertical="center"/>
    </xf>
    <xf numFmtId="2" fontId="37" fillId="2" borderId="5" xfId="0" applyNumberFormat="1" applyFont="1" applyFill="1" applyBorder="1" applyAlignment="1">
      <alignment horizontal="right" vertical="center"/>
    </xf>
    <xf numFmtId="2" fontId="37" fillId="2" borderId="7" xfId="0" applyNumberFormat="1" applyFont="1" applyFill="1" applyBorder="1" applyAlignment="1">
      <alignment horizontal="right" vertical="center"/>
    </xf>
    <xf numFmtId="0" fontId="0" fillId="0" borderId="15" xfId="0" applyBorder="1"/>
    <xf numFmtId="0" fontId="61" fillId="0" borderId="0" xfId="0" applyFont="1"/>
    <xf numFmtId="0" fontId="21" fillId="2" borderId="0" xfId="3" quotePrefix="1" applyFont="1" applyFill="1" applyAlignment="1" applyProtection="1">
      <alignment vertical="center"/>
      <protection locked="0"/>
    </xf>
    <xf numFmtId="0" fontId="26" fillId="0" borderId="0" xfId="0" quotePrefix="1" applyFont="1" applyAlignment="1">
      <alignment vertical="center"/>
    </xf>
    <xf numFmtId="0" fontId="4" fillId="2" borderId="57" xfId="0" applyFont="1" applyFill="1" applyBorder="1" applyAlignment="1">
      <alignment horizontal="center" vertical="center"/>
    </xf>
    <xf numFmtId="0" fontId="17" fillId="2" borderId="0" xfId="0" applyFont="1" applyFill="1" applyAlignment="1">
      <alignment horizontal="center" vertical="center"/>
    </xf>
    <xf numFmtId="0" fontId="25" fillId="2" borderId="0" xfId="0" applyFont="1" applyFill="1" applyAlignment="1">
      <alignment vertical="center"/>
    </xf>
    <xf numFmtId="165" fontId="40" fillId="8" borderId="0" xfId="0" quotePrefix="1" applyNumberFormat="1" applyFont="1" applyFill="1" applyAlignment="1">
      <alignment vertical="center" wrapText="1"/>
    </xf>
    <xf numFmtId="0" fontId="2" fillId="2" borderId="0" xfId="0" quotePrefix="1" applyFont="1" applyFill="1" applyAlignment="1">
      <alignment horizontal="left" vertical="center"/>
    </xf>
    <xf numFmtId="0" fontId="22" fillId="0" borderId="0" xfId="0" applyFont="1" applyProtection="1">
      <protection locked="0"/>
    </xf>
    <xf numFmtId="0" fontId="48" fillId="2" borderId="9" xfId="0" applyFont="1" applyFill="1" applyBorder="1" applyAlignment="1">
      <alignment horizontal="center" vertical="center" wrapText="1"/>
    </xf>
    <xf numFmtId="0" fontId="48" fillId="2" borderId="10" xfId="0" applyFont="1" applyFill="1" applyBorder="1" applyAlignment="1">
      <alignment horizontal="center" vertical="center" wrapText="1"/>
    </xf>
    <xf numFmtId="0" fontId="48" fillId="2" borderId="13" xfId="0" applyFont="1" applyFill="1" applyBorder="1" applyAlignment="1">
      <alignment horizontal="center" vertical="center" wrapText="1"/>
    </xf>
    <xf numFmtId="1" fontId="48" fillId="0" borderId="0" xfId="0" applyNumberFormat="1" applyFont="1" applyAlignment="1">
      <alignment horizontal="center" vertical="center"/>
    </xf>
    <xf numFmtId="1" fontId="2" fillId="0" borderId="15" xfId="0" applyNumberFormat="1" applyFont="1" applyBorder="1" applyAlignment="1">
      <alignment horizontal="center" vertical="center"/>
    </xf>
    <xf numFmtId="2" fontId="2" fillId="6" borderId="39" xfId="0" applyNumberFormat="1" applyFont="1" applyFill="1" applyBorder="1" applyAlignment="1">
      <alignment horizontal="center" vertical="center"/>
    </xf>
    <xf numFmtId="2" fontId="2" fillId="9" borderId="40" xfId="0" applyNumberFormat="1" applyFont="1" applyFill="1" applyBorder="1" applyAlignment="1">
      <alignment horizontal="center" vertical="center"/>
    </xf>
    <xf numFmtId="2" fontId="56" fillId="6" borderId="15" xfId="2" applyNumberFormat="1" applyFont="1" applyFill="1" applyBorder="1" applyAlignment="1">
      <alignment horizontal="center" vertical="center"/>
    </xf>
    <xf numFmtId="1" fontId="32" fillId="8" borderId="15" xfId="0" applyNumberFormat="1" applyFont="1" applyFill="1" applyBorder="1" applyAlignment="1">
      <alignment horizontal="center" vertical="center"/>
    </xf>
    <xf numFmtId="1" fontId="32" fillId="8" borderId="15" xfId="0" quotePrefix="1" applyNumberFormat="1" applyFont="1" applyFill="1" applyBorder="1" applyAlignment="1">
      <alignment horizontal="center" vertical="center"/>
    </xf>
    <xf numFmtId="2" fontId="2" fillId="9" borderId="15" xfId="0" applyNumberFormat="1" applyFont="1" applyFill="1" applyBorder="1" applyAlignment="1">
      <alignment horizontal="center" vertical="center"/>
    </xf>
    <xf numFmtId="2" fontId="2" fillId="9" borderId="15" xfId="0" quotePrefix="1" applyNumberFormat="1" applyFont="1" applyFill="1" applyBorder="1" applyAlignment="1">
      <alignment horizontal="center" vertical="center"/>
    </xf>
    <xf numFmtId="2" fontId="2" fillId="6" borderId="15" xfId="0" applyNumberFormat="1" applyFont="1" applyFill="1" applyBorder="1" applyAlignment="1">
      <alignment horizontal="center"/>
    </xf>
    <xf numFmtId="2" fontId="2" fillId="6" borderId="53" xfId="0" applyNumberFormat="1" applyFont="1" applyFill="1" applyBorder="1" applyAlignment="1">
      <alignment horizontal="center" vertical="center"/>
    </xf>
    <xf numFmtId="2" fontId="2" fillId="9" borderId="52" xfId="0" applyNumberFormat="1" applyFont="1" applyFill="1" applyBorder="1" applyAlignment="1">
      <alignment horizontal="center" vertical="center"/>
    </xf>
    <xf numFmtId="2" fontId="2" fillId="9" borderId="15" xfId="0" applyNumberFormat="1" applyFont="1" applyFill="1" applyBorder="1" applyAlignment="1">
      <alignment horizontal="center"/>
    </xf>
    <xf numFmtId="2" fontId="2" fillId="9" borderId="15" xfId="0" quotePrefix="1" applyNumberFormat="1" applyFont="1" applyFill="1" applyBorder="1" applyAlignment="1">
      <alignment horizontal="center"/>
    </xf>
    <xf numFmtId="1" fontId="2" fillId="0" borderId="35" xfId="0" applyNumberFormat="1" applyFont="1" applyBorder="1"/>
    <xf numFmtId="2" fontId="2" fillId="0" borderId="44" xfId="0" applyNumberFormat="1" applyFont="1" applyBorder="1"/>
    <xf numFmtId="1" fontId="2" fillId="0" borderId="35" xfId="0" applyNumberFormat="1" applyFont="1" applyBorder="1" applyAlignment="1">
      <alignment horizontal="center" vertical="center"/>
    </xf>
    <xf numFmtId="1" fontId="2" fillId="2" borderId="35" xfId="0" applyNumberFormat="1" applyFont="1" applyFill="1" applyBorder="1" applyAlignment="1">
      <alignment horizontal="center" vertical="center"/>
    </xf>
    <xf numFmtId="2" fontId="2" fillId="2" borderId="0" xfId="0" quotePrefix="1" applyNumberFormat="1" applyFont="1" applyFill="1" applyAlignment="1">
      <alignment horizontal="center"/>
    </xf>
    <xf numFmtId="2" fontId="2" fillId="0" borderId="64" xfId="0" applyNumberFormat="1" applyFont="1" applyBorder="1"/>
    <xf numFmtId="2" fontId="2" fillId="0" borderId="0" xfId="0" quotePrefix="1" applyNumberFormat="1" applyFont="1" applyAlignment="1">
      <alignment horizontal="center"/>
    </xf>
    <xf numFmtId="1" fontId="2" fillId="0" borderId="0" xfId="0" applyNumberFormat="1" applyFont="1"/>
    <xf numFmtId="2" fontId="4" fillId="3" borderId="32" xfId="0" applyNumberFormat="1" applyFont="1" applyFill="1" applyBorder="1"/>
    <xf numFmtId="2" fontId="18" fillId="2" borderId="15" xfId="2" applyNumberFormat="1" applyFont="1" applyFill="1" applyBorder="1" applyAlignment="1">
      <alignment vertical="center"/>
    </xf>
    <xf numFmtId="2" fontId="18" fillId="2" borderId="64" xfId="2" applyNumberFormat="1" applyFont="1" applyFill="1" applyBorder="1" applyAlignment="1">
      <alignment horizontal="center" vertical="center"/>
    </xf>
    <xf numFmtId="2" fontId="65" fillId="6" borderId="15" xfId="0" applyNumberFormat="1" applyFont="1" applyFill="1" applyBorder="1" applyAlignment="1">
      <alignment horizontal="center" vertical="center"/>
    </xf>
    <xf numFmtId="2" fontId="4" fillId="8" borderId="39" xfId="0" applyNumberFormat="1" applyFont="1" applyFill="1" applyBorder="1" applyAlignment="1">
      <alignment horizontal="center" vertical="center"/>
    </xf>
    <xf numFmtId="2" fontId="4" fillId="8" borderId="40" xfId="0" applyNumberFormat="1" applyFont="1" applyFill="1" applyBorder="1" applyAlignment="1">
      <alignment horizontal="center" vertical="center"/>
    </xf>
    <xf numFmtId="2" fontId="4" fillId="8" borderId="39" xfId="0" applyNumberFormat="1" applyFont="1" applyFill="1" applyBorder="1" applyAlignment="1">
      <alignment horizontal="center"/>
    </xf>
    <xf numFmtId="2" fontId="4" fillId="8" borderId="40" xfId="0" applyNumberFormat="1" applyFont="1" applyFill="1" applyBorder="1" applyAlignment="1">
      <alignment horizontal="center"/>
    </xf>
    <xf numFmtId="2" fontId="2" fillId="8" borderId="40" xfId="0" applyNumberFormat="1" applyFont="1" applyFill="1" applyBorder="1" applyAlignment="1">
      <alignment horizontal="center"/>
    </xf>
    <xf numFmtId="2" fontId="4" fillId="8" borderId="53" xfId="0" applyNumberFormat="1" applyFont="1" applyFill="1" applyBorder="1" applyAlignment="1">
      <alignment horizontal="center" vertical="center"/>
    </xf>
    <xf numFmtId="2" fontId="2" fillId="8" borderId="52" xfId="0" applyNumberFormat="1" applyFont="1" applyFill="1" applyBorder="1" applyAlignment="1">
      <alignment horizontal="center"/>
    </xf>
    <xf numFmtId="2" fontId="4" fillId="0" borderId="0" xfId="0" applyNumberFormat="1" applyFont="1" applyAlignment="1">
      <alignment horizontal="center" vertical="center"/>
    </xf>
    <xf numFmtId="2" fontId="4" fillId="0" borderId="33" xfId="0" applyNumberFormat="1" applyFont="1" applyBorder="1"/>
    <xf numFmtId="2" fontId="4" fillId="2" borderId="15" xfId="0" applyNumberFormat="1" applyFont="1" applyFill="1" applyBorder="1" applyAlignment="1">
      <alignment horizontal="center"/>
    </xf>
    <xf numFmtId="2" fontId="4" fillId="2" borderId="22" xfId="0" applyNumberFormat="1" applyFont="1" applyFill="1" applyBorder="1" applyAlignment="1">
      <alignment horizontal="center" vertical="center"/>
    </xf>
    <xf numFmtId="2" fontId="4" fillId="0" borderId="64" xfId="0" applyNumberFormat="1" applyFont="1" applyBorder="1"/>
    <xf numFmtId="2" fontId="41" fillId="8" borderId="40" xfId="0" applyNumberFormat="1" applyFont="1" applyFill="1" applyBorder="1" applyAlignment="1">
      <alignment horizontal="center" vertical="center"/>
    </xf>
    <xf numFmtId="2" fontId="4" fillId="2" borderId="70" xfId="0" applyNumberFormat="1" applyFont="1" applyFill="1" applyBorder="1" applyAlignment="1">
      <alignment horizontal="center" vertical="center"/>
    </xf>
    <xf numFmtId="2" fontId="4" fillId="2" borderId="27" xfId="0" applyNumberFormat="1" applyFont="1" applyFill="1" applyBorder="1" applyAlignment="1">
      <alignment horizontal="center" vertical="center"/>
    </xf>
    <xf numFmtId="2" fontId="4" fillId="2" borderId="35" xfId="0" applyNumberFormat="1" applyFont="1" applyFill="1" applyBorder="1" applyAlignment="1">
      <alignment horizontal="center" vertical="center"/>
    </xf>
    <xf numFmtId="2" fontId="4" fillId="0" borderId="35" xfId="0" applyNumberFormat="1" applyFont="1" applyBorder="1" applyAlignment="1">
      <alignment horizontal="center" vertical="center"/>
    </xf>
    <xf numFmtId="2" fontId="4" fillId="2" borderId="0" xfId="0" applyNumberFormat="1" applyFont="1" applyFill="1" applyAlignment="1">
      <alignment horizontal="center" vertical="center"/>
    </xf>
    <xf numFmtId="1" fontId="18" fillId="2" borderId="15" xfId="2" applyNumberFormat="1" applyFont="1" applyFill="1" applyBorder="1" applyAlignment="1">
      <alignment horizontal="center" vertical="center"/>
    </xf>
    <xf numFmtId="1" fontId="18" fillId="2" borderId="57" xfId="2" applyNumberFormat="1" applyFont="1" applyFill="1" applyBorder="1" applyAlignment="1">
      <alignment horizontal="center" vertical="center"/>
    </xf>
    <xf numFmtId="2" fontId="18" fillId="2" borderId="64" xfId="2" applyNumberFormat="1" applyFont="1" applyFill="1" applyBorder="1" applyAlignment="1">
      <alignment horizontal="left" vertical="center" wrapText="1"/>
    </xf>
    <xf numFmtId="2" fontId="65" fillId="2" borderId="15" xfId="0" applyNumberFormat="1" applyFont="1" applyFill="1" applyBorder="1" applyAlignment="1">
      <alignment horizontal="center" vertical="center"/>
    </xf>
    <xf numFmtId="1" fontId="65" fillId="2" borderId="15" xfId="0" applyNumberFormat="1" applyFont="1" applyFill="1" applyBorder="1" applyAlignment="1">
      <alignment horizontal="center" vertical="center"/>
    </xf>
    <xf numFmtId="2" fontId="4" fillId="2" borderId="39" xfId="0" applyNumberFormat="1" applyFont="1" applyFill="1" applyBorder="1" applyAlignment="1">
      <alignment horizontal="center"/>
    </xf>
    <xf numFmtId="2" fontId="4" fillId="9" borderId="15" xfId="0" applyNumberFormat="1" applyFont="1" applyFill="1" applyBorder="1" applyAlignment="1">
      <alignment horizontal="center"/>
    </xf>
    <xf numFmtId="2" fontId="4" fillId="2" borderId="40" xfId="2" applyNumberFormat="1" applyFont="1" applyFill="1" applyBorder="1" applyAlignment="1">
      <alignment horizontal="center"/>
    </xf>
    <xf numFmtId="2" fontId="2" fillId="0" borderId="53" xfId="0" applyNumberFormat="1" applyFont="1" applyBorder="1" applyAlignment="1">
      <alignment horizontal="center" vertical="center"/>
    </xf>
    <xf numFmtId="2" fontId="2" fillId="9" borderId="50" xfId="0" applyNumberFormat="1" applyFont="1" applyFill="1" applyBorder="1" applyAlignment="1">
      <alignment horizontal="center" vertical="center"/>
    </xf>
    <xf numFmtId="2" fontId="4" fillId="2" borderId="52" xfId="2" applyNumberFormat="1" applyFont="1" applyFill="1" applyBorder="1" applyAlignment="1">
      <alignment horizontal="center"/>
    </xf>
    <xf numFmtId="2" fontId="4" fillId="2" borderId="35" xfId="2" applyNumberFormat="1" applyFont="1" applyFill="1" applyBorder="1" applyAlignment="1">
      <alignment horizontal="center"/>
    </xf>
    <xf numFmtId="2" fontId="4" fillId="2" borderId="0" xfId="2" applyNumberFormat="1" applyFont="1" applyFill="1"/>
    <xf numFmtId="2" fontId="2" fillId="9" borderId="58" xfId="0" applyNumberFormat="1" applyFont="1" applyFill="1" applyBorder="1"/>
    <xf numFmtId="2" fontId="2" fillId="9" borderId="59" xfId="0" applyNumberFormat="1" applyFont="1" applyFill="1" applyBorder="1"/>
    <xf numFmtId="2" fontId="6" fillId="2" borderId="0" xfId="2" applyNumberFormat="1" applyFont="1" applyFill="1"/>
    <xf numFmtId="2" fontId="2" fillId="9" borderId="15" xfId="0" applyNumberFormat="1" applyFont="1" applyFill="1" applyBorder="1"/>
    <xf numFmtId="2" fontId="2" fillId="9" borderId="40" xfId="0" applyNumberFormat="1" applyFont="1" applyFill="1" applyBorder="1"/>
    <xf numFmtId="2" fontId="4" fillId="2" borderId="35" xfId="0" applyNumberFormat="1" applyFont="1" applyFill="1" applyBorder="1"/>
    <xf numFmtId="2" fontId="2" fillId="9" borderId="50" xfId="0" applyNumberFormat="1" applyFont="1" applyFill="1" applyBorder="1"/>
    <xf numFmtId="2" fontId="2" fillId="9" borderId="52" xfId="0" applyNumberFormat="1" applyFont="1" applyFill="1" applyBorder="1"/>
    <xf numFmtId="2" fontId="4" fillId="6" borderId="15" xfId="0" applyNumberFormat="1" applyFont="1" applyFill="1" applyBorder="1" applyAlignment="1">
      <alignment vertical="center"/>
    </xf>
    <xf numFmtId="1" fontId="4" fillId="6" borderId="15" xfId="0" applyNumberFormat="1" applyFont="1" applyFill="1" applyBorder="1" applyAlignment="1">
      <alignment horizontal="center" vertical="center"/>
    </xf>
    <xf numFmtId="189" fontId="6" fillId="2" borderId="39" xfId="2" applyNumberFormat="1" applyFont="1" applyFill="1" applyBorder="1" applyAlignment="1">
      <alignment horizontal="center" vertical="center"/>
    </xf>
    <xf numFmtId="2" fontId="26" fillId="0" borderId="40" xfId="0" applyNumberFormat="1" applyFont="1" applyBorder="1" applyAlignment="1">
      <alignment horizontal="left" vertical="center"/>
    </xf>
    <xf numFmtId="2" fontId="4" fillId="6" borderId="15" xfId="0" applyNumberFormat="1" applyFont="1" applyFill="1" applyBorder="1" applyAlignment="1">
      <alignment horizontal="left" vertical="center"/>
    </xf>
    <xf numFmtId="2" fontId="4" fillId="9" borderId="50" xfId="0" applyNumberFormat="1" applyFont="1" applyFill="1" applyBorder="1" applyAlignment="1">
      <alignment horizontal="center" vertical="center"/>
    </xf>
    <xf numFmtId="2" fontId="21" fillId="0" borderId="0" xfId="0" applyNumberFormat="1" applyFont="1" applyAlignment="1">
      <alignment horizontal="center" vertical="center"/>
    </xf>
    <xf numFmtId="165" fontId="48" fillId="0" borderId="0" xfId="0" applyNumberFormat="1" applyFont="1" applyAlignment="1">
      <alignment horizontal="center" vertical="center"/>
    </xf>
    <xf numFmtId="1" fontId="32" fillId="0" borderId="15" xfId="0" applyNumberFormat="1" applyFont="1" applyBorder="1" applyAlignment="1">
      <alignment horizontal="center" vertical="center"/>
    </xf>
    <xf numFmtId="1" fontId="2" fillId="0" borderId="15" xfId="2" applyNumberFormat="1" applyBorder="1" applyAlignment="1">
      <alignment horizontal="center" vertical="center"/>
    </xf>
    <xf numFmtId="187" fontId="2" fillId="0" borderId="15" xfId="0" applyNumberFormat="1" applyFont="1" applyBorder="1" applyAlignment="1">
      <alignment horizontal="center"/>
    </xf>
    <xf numFmtId="165" fontId="18" fillId="2" borderId="15" xfId="0" applyNumberFormat="1" applyFont="1" applyFill="1" applyBorder="1" applyAlignment="1">
      <alignment horizontal="center" vertical="center" wrapText="1"/>
    </xf>
    <xf numFmtId="0" fontId="17" fillId="2" borderId="15" xfId="2" applyFont="1" applyFill="1" applyBorder="1" applyAlignment="1">
      <alignment horizontal="center" vertical="center"/>
    </xf>
    <xf numFmtId="187" fontId="17" fillId="2" borderId="15" xfId="2" applyNumberFormat="1" applyFont="1" applyFill="1" applyBorder="1" applyAlignment="1">
      <alignment horizontal="center" vertical="center"/>
    </xf>
    <xf numFmtId="2" fontId="17" fillId="8" borderId="15" xfId="2" applyNumberFormat="1" applyFont="1" applyFill="1" applyBorder="1" applyAlignment="1">
      <alignment horizontal="center" vertical="center"/>
    </xf>
    <xf numFmtId="165" fontId="21" fillId="0" borderId="0" xfId="0" applyNumberFormat="1" applyFont="1" applyAlignment="1">
      <alignment horizontal="right" vertical="center"/>
    </xf>
    <xf numFmtId="168" fontId="26" fillId="2" borderId="0" xfId="0" applyNumberFormat="1" applyFont="1" applyFill="1" applyAlignment="1">
      <alignment vertical="center"/>
    </xf>
    <xf numFmtId="2" fontId="17" fillId="2" borderId="0" xfId="0" applyNumberFormat="1" applyFont="1" applyFill="1" applyAlignment="1">
      <alignment horizontal="center" vertical="center"/>
    </xf>
    <xf numFmtId="187" fontId="17" fillId="13" borderId="15" xfId="2" applyNumberFormat="1" applyFont="1" applyFill="1" applyBorder="1" applyAlignment="1">
      <alignment horizontal="center" vertical="center"/>
    </xf>
    <xf numFmtId="187" fontId="17" fillId="0" borderId="15" xfId="0" applyNumberFormat="1" applyFont="1" applyBorder="1" applyAlignment="1">
      <alignment horizontal="center" vertical="center"/>
    </xf>
    <xf numFmtId="187" fontId="17" fillId="8" borderId="15" xfId="0" applyNumberFormat="1" applyFont="1" applyFill="1" applyBorder="1" applyAlignment="1">
      <alignment horizontal="center" vertical="center"/>
    </xf>
    <xf numFmtId="187" fontId="17" fillId="13" borderId="15" xfId="0" applyNumberFormat="1" applyFont="1" applyFill="1" applyBorder="1" applyAlignment="1">
      <alignment horizontal="center" vertical="center"/>
    </xf>
    <xf numFmtId="0" fontId="2" fillId="0" borderId="0" xfId="4"/>
    <xf numFmtId="0" fontId="2" fillId="0" borderId="0" xfId="4" applyAlignment="1" applyProtection="1">
      <alignment wrapText="1"/>
      <protection hidden="1"/>
    </xf>
    <xf numFmtId="0" fontId="2" fillId="0" borderId="0" xfId="4" applyProtection="1">
      <protection locked="0"/>
    </xf>
    <xf numFmtId="0" fontId="68" fillId="0" borderId="0" xfId="4" applyFont="1" applyAlignment="1">
      <alignment horizontal="center" vertical="center" wrapText="1"/>
    </xf>
    <xf numFmtId="0" fontId="8" fillId="0" borderId="0" xfId="4" applyFont="1" applyProtection="1">
      <protection locked="0"/>
    </xf>
    <xf numFmtId="0" fontId="7" fillId="0" borderId="14" xfId="4" applyFont="1" applyBorder="1" applyAlignment="1">
      <alignment horizontal="left" vertical="top" wrapText="1"/>
    </xf>
    <xf numFmtId="0" fontId="7" fillId="0" borderId="17" xfId="4" applyFont="1" applyBorder="1" applyAlignment="1">
      <alignment horizontal="left" vertical="top" wrapText="1"/>
    </xf>
    <xf numFmtId="0" fontId="2" fillId="0" borderId="0" xfId="4" applyAlignment="1">
      <alignment horizontal="left" vertical="top"/>
    </xf>
    <xf numFmtId="0" fontId="7" fillId="0" borderId="17" xfId="4" applyFont="1" applyBorder="1" applyAlignment="1">
      <alignment horizontal="left" vertical="top"/>
    </xf>
    <xf numFmtId="0" fontId="7" fillId="0" borderId="0" xfId="4" applyFont="1" applyAlignment="1">
      <alignment vertical="center" wrapText="1"/>
    </xf>
    <xf numFmtId="0" fontId="7" fillId="0" borderId="0" xfId="4" applyFont="1" applyAlignment="1">
      <alignment horizontal="center" vertical="center" wrapText="1"/>
    </xf>
    <xf numFmtId="0" fontId="71" fillId="0" borderId="0" xfId="4" applyFont="1"/>
    <xf numFmtId="0" fontId="2" fillId="0" borderId="0" xfId="4" applyAlignment="1">
      <alignment vertical="top" wrapText="1"/>
    </xf>
    <xf numFmtId="0" fontId="7" fillId="0" borderId="14" xfId="4" applyFont="1" applyBorder="1" applyAlignment="1">
      <alignment vertical="top"/>
    </xf>
    <xf numFmtId="0" fontId="7" fillId="0" borderId="17" xfId="4" applyFont="1" applyBorder="1" applyAlignment="1" applyProtection="1">
      <alignment vertical="top" wrapText="1"/>
      <protection locked="0"/>
    </xf>
    <xf numFmtId="0" fontId="7" fillId="0" borderId="17" xfId="4" applyFont="1" applyBorder="1" applyAlignment="1" applyProtection="1">
      <alignment vertical="top"/>
      <protection locked="0"/>
    </xf>
    <xf numFmtId="0" fontId="72" fillId="0" borderId="0" xfId="4" applyFont="1" applyAlignment="1">
      <alignment vertical="top"/>
    </xf>
    <xf numFmtId="0" fontId="7" fillId="0" borderId="0" xfId="4" applyFont="1" applyAlignment="1" applyProtection="1">
      <alignment horizontal="center" vertical="top" wrapText="1"/>
      <protection locked="0"/>
    </xf>
    <xf numFmtId="0" fontId="68" fillId="0" borderId="0" xfId="4" applyFont="1" applyAlignment="1">
      <alignment wrapText="1"/>
    </xf>
    <xf numFmtId="0" fontId="62" fillId="0" borderId="0" xfId="4" applyFont="1" applyAlignment="1">
      <alignment horizontal="center"/>
    </xf>
    <xf numFmtId="0" fontId="63" fillId="0" borderId="0" xfId="4" applyFont="1"/>
    <xf numFmtId="0" fontId="7" fillId="0" borderId="0" xfId="4" applyFont="1" applyAlignment="1">
      <alignment horizontal="center" vertical="top" wrapText="1"/>
    </xf>
    <xf numFmtId="0" fontId="7" fillId="0" borderId="0" xfId="4" applyFont="1" applyAlignment="1">
      <alignment vertical="top" wrapText="1"/>
    </xf>
    <xf numFmtId="0" fontId="7" fillId="0" borderId="0" xfId="4" applyFont="1" applyAlignment="1">
      <alignment horizontal="justify" vertical="center" wrapText="1"/>
    </xf>
    <xf numFmtId="0" fontId="73" fillId="0" borderId="0" xfId="4" applyFont="1" applyAlignment="1">
      <alignment vertical="center"/>
    </xf>
    <xf numFmtId="0" fontId="2" fillId="0" borderId="63" xfId="4" applyBorder="1"/>
    <xf numFmtId="0" fontId="74" fillId="0" borderId="65" xfId="4" applyFont="1" applyBorder="1"/>
    <xf numFmtId="0" fontId="2" fillId="0" borderId="35" xfId="4" applyBorder="1"/>
    <xf numFmtId="0" fontId="2" fillId="0" borderId="36" xfId="4" applyBorder="1"/>
    <xf numFmtId="0" fontId="2" fillId="0" borderId="35" xfId="4" applyBorder="1" applyAlignment="1">
      <alignment wrapText="1"/>
    </xf>
    <xf numFmtId="0" fontId="2" fillId="0" borderId="36" xfId="4" applyBorder="1" applyAlignment="1">
      <alignment wrapText="1"/>
    </xf>
    <xf numFmtId="0" fontId="74" fillId="0" borderId="36" xfId="4" applyFont="1" applyBorder="1"/>
    <xf numFmtId="0" fontId="75" fillId="0" borderId="36" xfId="4" applyFont="1" applyBorder="1" applyAlignment="1">
      <alignment horizontal="left" wrapText="1"/>
    </xf>
    <xf numFmtId="0" fontId="2" fillId="0" borderId="0" xfId="4" applyAlignment="1">
      <alignment wrapText="1"/>
    </xf>
    <xf numFmtId="0" fontId="75" fillId="0" borderId="35" xfId="4" applyFont="1" applyBorder="1" applyAlignment="1">
      <alignment wrapText="1"/>
    </xf>
    <xf numFmtId="170" fontId="75" fillId="0" borderId="36" xfId="4" applyNumberFormat="1" applyFont="1" applyBorder="1" applyAlignment="1">
      <alignment horizontal="left"/>
    </xf>
    <xf numFmtId="170" fontId="2" fillId="0" borderId="36" xfId="4" applyNumberFormat="1" applyBorder="1"/>
    <xf numFmtId="0" fontId="76" fillId="0" borderId="36" xfId="4" applyFont="1" applyBorder="1" applyAlignment="1">
      <alignment horizontal="left" wrapText="1"/>
    </xf>
    <xf numFmtId="0" fontId="75" fillId="0" borderId="36" xfId="4" applyFont="1" applyBorder="1" applyAlignment="1">
      <alignment wrapText="1"/>
    </xf>
    <xf numFmtId="0" fontId="75" fillId="0" borderId="35" xfId="4" applyFont="1" applyBorder="1"/>
    <xf numFmtId="0" fontId="75" fillId="0" borderId="32" xfId="4" applyFont="1" applyBorder="1"/>
    <xf numFmtId="0" fontId="75" fillId="0" borderId="34" xfId="4" applyFont="1" applyBorder="1" applyAlignment="1">
      <alignment wrapText="1"/>
    </xf>
    <xf numFmtId="179" fontId="21" fillId="2" borderId="3" xfId="0" applyNumberFormat="1" applyFont="1" applyFill="1" applyBorder="1" applyAlignment="1">
      <alignment horizontal="right" vertical="center"/>
    </xf>
    <xf numFmtId="179" fontId="21" fillId="2" borderId="5" xfId="0" applyNumberFormat="1" applyFont="1" applyFill="1" applyBorder="1" applyAlignment="1">
      <alignment horizontal="right" vertical="center"/>
    </xf>
    <xf numFmtId="179" fontId="21" fillId="2" borderId="7" xfId="0" applyNumberFormat="1" applyFont="1" applyFill="1" applyBorder="1" applyAlignment="1">
      <alignment horizontal="right" vertical="center"/>
    </xf>
    <xf numFmtId="2" fontId="48" fillId="2" borderId="9" xfId="0" applyNumberFormat="1" applyFont="1" applyFill="1" applyBorder="1" applyAlignment="1">
      <alignment horizontal="center" vertical="center"/>
    </xf>
    <xf numFmtId="2" fontId="48" fillId="2" borderId="10" xfId="0" applyNumberFormat="1" applyFont="1" applyFill="1" applyBorder="1" applyAlignment="1">
      <alignment horizontal="center" vertical="center"/>
    </xf>
    <xf numFmtId="2" fontId="48" fillId="2" borderId="13" xfId="0" applyNumberFormat="1" applyFont="1" applyFill="1" applyBorder="1" applyAlignment="1">
      <alignment horizontal="center" vertical="center"/>
    </xf>
    <xf numFmtId="2" fontId="21" fillId="2" borderId="4" xfId="0" applyNumberFormat="1" applyFont="1" applyFill="1" applyBorder="1" applyAlignment="1">
      <alignment horizontal="left" vertical="center"/>
    </xf>
    <xf numFmtId="169" fontId="21" fillId="2" borderId="3" xfId="0" applyNumberFormat="1" applyFont="1" applyFill="1" applyBorder="1" applyAlignment="1">
      <alignment horizontal="right" vertical="center"/>
    </xf>
    <xf numFmtId="169" fontId="21" fillId="2" borderId="7" xfId="0" applyNumberFormat="1" applyFont="1" applyFill="1" applyBorder="1" applyAlignment="1">
      <alignment horizontal="right" vertical="center"/>
    </xf>
    <xf numFmtId="165" fontId="48" fillId="2" borderId="4" xfId="0" applyNumberFormat="1" applyFont="1" applyFill="1" applyBorder="1" applyAlignment="1">
      <alignment horizontal="left" vertical="center"/>
    </xf>
    <xf numFmtId="165" fontId="48" fillId="2" borderId="8" xfId="0" applyNumberFormat="1" applyFont="1" applyFill="1" applyBorder="1" applyAlignment="1">
      <alignment horizontal="left" vertical="center"/>
    </xf>
    <xf numFmtId="0" fontId="48" fillId="2" borderId="9" xfId="0" applyFont="1" applyFill="1" applyBorder="1" applyAlignment="1">
      <alignment horizontal="center" vertical="center"/>
    </xf>
    <xf numFmtId="165" fontId="48" fillId="2" borderId="9" xfId="1" applyNumberFormat="1" applyFont="1" applyFill="1" applyBorder="1" applyAlignment="1" applyProtection="1">
      <alignment horizontal="center" vertical="center"/>
    </xf>
    <xf numFmtId="0" fontId="48" fillId="2" borderId="13" xfId="0" applyFont="1" applyFill="1" applyBorder="1" applyAlignment="1">
      <alignment horizontal="center" vertical="center"/>
    </xf>
    <xf numFmtId="165" fontId="48" fillId="2" borderId="13" xfId="1" applyNumberFormat="1" applyFont="1" applyFill="1" applyBorder="1" applyAlignment="1" applyProtection="1">
      <alignment horizontal="center" vertical="center"/>
    </xf>
    <xf numFmtId="0" fontId="79" fillId="2" borderId="0" xfId="0" applyFont="1" applyFill="1"/>
    <xf numFmtId="0" fontId="4" fillId="2" borderId="64" xfId="0" applyFont="1" applyFill="1" applyBorder="1"/>
    <xf numFmtId="0" fontId="44" fillId="2" borderId="15" xfId="0" applyFont="1" applyFill="1" applyBorder="1" applyAlignment="1">
      <alignment horizontal="center" vertical="center" wrapText="1"/>
    </xf>
    <xf numFmtId="0" fontId="44" fillId="2" borderId="15" xfId="2" applyFont="1" applyFill="1" applyBorder="1" applyAlignment="1">
      <alignment horizontal="center" vertical="center"/>
    </xf>
    <xf numFmtId="0" fontId="44" fillId="9" borderId="15" xfId="0" applyFont="1" applyFill="1" applyBorder="1" applyAlignment="1">
      <alignment horizontal="center" vertical="center"/>
    </xf>
    <xf numFmtId="0" fontId="44" fillId="9" borderId="15" xfId="0" quotePrefix="1" applyFont="1" applyFill="1" applyBorder="1" applyAlignment="1">
      <alignment horizontal="center" vertical="center"/>
    </xf>
    <xf numFmtId="187" fontId="21" fillId="9" borderId="15" xfId="0" applyNumberFormat="1" applyFont="1" applyFill="1" applyBorder="1" applyAlignment="1">
      <alignment horizontal="center" vertical="center"/>
    </xf>
    <xf numFmtId="187" fontId="21" fillId="9" borderId="15" xfId="0" quotePrefix="1" applyNumberFormat="1" applyFont="1" applyFill="1" applyBorder="1" applyAlignment="1">
      <alignment horizontal="center" vertical="center"/>
    </xf>
    <xf numFmtId="187" fontId="21" fillId="2" borderId="15" xfId="0" applyNumberFormat="1" applyFont="1" applyFill="1" applyBorder="1" applyAlignment="1">
      <alignment horizontal="center"/>
    </xf>
    <xf numFmtId="0" fontId="21" fillId="0" borderId="33" xfId="0" applyFont="1" applyBorder="1"/>
    <xf numFmtId="0" fontId="79" fillId="2" borderId="33" xfId="0" applyFont="1" applyFill="1" applyBorder="1"/>
    <xf numFmtId="1" fontId="0" fillId="2" borderId="33" xfId="0" applyNumberFormat="1" applyFill="1" applyBorder="1" applyAlignment="1">
      <alignment horizontal="center" vertical="center"/>
    </xf>
    <xf numFmtId="164" fontId="0" fillId="2" borderId="33" xfId="0" applyNumberFormat="1" applyFill="1" applyBorder="1" applyAlignment="1">
      <alignment horizontal="center" vertical="center"/>
    </xf>
    <xf numFmtId="164" fontId="2" fillId="2" borderId="33" xfId="0" quotePrefix="1" applyNumberFormat="1" applyFont="1" applyFill="1" applyBorder="1" applyAlignment="1">
      <alignment horizontal="center" vertical="center"/>
    </xf>
    <xf numFmtId="164" fontId="2" fillId="2" borderId="33" xfId="0" applyNumberFormat="1" applyFont="1" applyFill="1" applyBorder="1" applyAlignment="1">
      <alignment horizontal="center"/>
    </xf>
    <xf numFmtId="2" fontId="2" fillId="2" borderId="33" xfId="0" applyNumberFormat="1" applyFont="1" applyFill="1" applyBorder="1" applyAlignment="1">
      <alignment horizontal="center" vertical="center"/>
    </xf>
    <xf numFmtId="0" fontId="19" fillId="12" borderId="15" xfId="0" applyFont="1" applyFill="1" applyBorder="1" applyAlignment="1">
      <alignment horizontal="center" vertical="center"/>
    </xf>
    <xf numFmtId="0" fontId="79" fillId="0" borderId="0" xfId="0" applyFont="1"/>
    <xf numFmtId="0" fontId="13" fillId="12" borderId="15" xfId="2" applyFont="1" applyFill="1" applyBorder="1" applyAlignment="1">
      <alignment horizontal="center" vertical="center"/>
    </xf>
    <xf numFmtId="0" fontId="4" fillId="12" borderId="15" xfId="0" applyFont="1" applyFill="1" applyBorder="1" applyAlignment="1">
      <alignment horizontal="center" vertical="center"/>
    </xf>
    <xf numFmtId="0" fontId="17" fillId="12" borderId="15" xfId="0" applyFont="1" applyFill="1" applyBorder="1" applyAlignment="1">
      <alignment horizontal="center" vertical="center" wrapText="1"/>
    </xf>
    <xf numFmtId="1" fontId="4" fillId="12" borderId="15" xfId="0" applyNumberFormat="1" applyFont="1" applyFill="1" applyBorder="1" applyAlignment="1">
      <alignment horizontal="center" vertical="center"/>
    </xf>
    <xf numFmtId="187" fontId="4" fillId="12" borderId="15" xfId="0" applyNumberFormat="1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19" fillId="4" borderId="0" xfId="0" applyFont="1" applyFill="1" applyAlignment="1">
      <alignment horizontal="center" vertical="center" wrapText="1"/>
    </xf>
    <xf numFmtId="166" fontId="4" fillId="4" borderId="0" xfId="0" applyNumberFormat="1" applyFont="1" applyFill="1" applyAlignment="1">
      <alignment horizontal="center" vertical="center"/>
    </xf>
    <xf numFmtId="1" fontId="4" fillId="12" borderId="15" xfId="0" applyNumberFormat="1" applyFont="1" applyFill="1" applyBorder="1" applyAlignment="1">
      <alignment horizontal="center"/>
    </xf>
    <xf numFmtId="187" fontId="4" fillId="12" borderId="15" xfId="0" applyNumberFormat="1" applyFont="1" applyFill="1" applyBorder="1" applyAlignment="1">
      <alignment horizontal="center"/>
    </xf>
    <xf numFmtId="166" fontId="4" fillId="0" borderId="0" xfId="0" applyNumberFormat="1" applyFont="1" applyAlignment="1">
      <alignment horizontal="center"/>
    </xf>
    <xf numFmtId="164" fontId="4" fillId="4" borderId="0" xfId="0" applyNumberFormat="1" applyFont="1" applyFill="1" applyAlignment="1">
      <alignment horizontal="center" vertical="center"/>
    </xf>
    <xf numFmtId="0" fontId="80" fillId="2" borderId="0" xfId="3" applyFont="1" applyFill="1" applyAlignment="1">
      <alignment horizontal="center" vertical="center" wrapText="1"/>
    </xf>
    <xf numFmtId="2" fontId="81" fillId="2" borderId="0" xfId="3" applyNumberFormat="1" applyFont="1" applyFill="1" applyAlignment="1">
      <alignment horizontal="center" vertical="center"/>
    </xf>
    <xf numFmtId="0" fontId="82" fillId="2" borderId="0" xfId="0" applyFont="1" applyFill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164" fontId="17" fillId="2" borderId="0" xfId="0" applyNumberFormat="1" applyFont="1" applyFill="1" applyAlignment="1">
      <alignment horizontal="center" vertical="center"/>
    </xf>
    <xf numFmtId="0" fontId="17" fillId="2" borderId="15" xfId="2" applyFont="1" applyFill="1" applyBorder="1" applyAlignment="1">
      <alignment horizontal="center" vertical="center" wrapText="1"/>
    </xf>
    <xf numFmtId="0" fontId="17" fillId="2" borderId="2" xfId="0" applyFont="1" applyFill="1" applyBorder="1"/>
    <xf numFmtId="0" fontId="19" fillId="2" borderId="15" xfId="0" applyFont="1" applyFill="1" applyBorder="1" applyAlignment="1">
      <alignment horizontal="center" vertical="center" wrapText="1"/>
    </xf>
    <xf numFmtId="0" fontId="5" fillId="2" borderId="15" xfId="0" applyFont="1" applyFill="1" applyBorder="1" applyAlignment="1">
      <alignment horizontal="center" vertical="center"/>
    </xf>
    <xf numFmtId="2" fontId="5" fillId="2" borderId="15" xfId="0" applyNumberFormat="1" applyFont="1" applyFill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/>
    </xf>
    <xf numFmtId="0" fontId="13" fillId="2" borderId="15" xfId="2" applyFont="1" applyFill="1" applyBorder="1" applyAlignment="1">
      <alignment horizontal="center" vertical="center"/>
    </xf>
    <xf numFmtId="1" fontId="4" fillId="2" borderId="15" xfId="0" applyNumberFormat="1" applyFont="1" applyFill="1" applyBorder="1" applyAlignment="1">
      <alignment horizontal="center" vertical="center"/>
    </xf>
    <xf numFmtId="187" fontId="4" fillId="2" borderId="15" xfId="0" applyNumberFormat="1" applyFont="1" applyFill="1" applyBorder="1" applyAlignment="1">
      <alignment horizontal="center" vertical="center"/>
    </xf>
    <xf numFmtId="187" fontId="4" fillId="0" borderId="15" xfId="0" applyNumberFormat="1" applyFont="1" applyBorder="1" applyAlignment="1">
      <alignment horizontal="center" vertical="center"/>
    </xf>
    <xf numFmtId="187" fontId="4" fillId="2" borderId="15" xfId="0" applyNumberFormat="1" applyFont="1" applyFill="1" applyBorder="1" applyAlignment="1">
      <alignment horizontal="center"/>
    </xf>
    <xf numFmtId="164" fontId="8" fillId="9" borderId="15" xfId="0" applyNumberFormat="1" applyFont="1" applyFill="1" applyBorder="1" applyAlignment="1">
      <alignment horizontal="center" vertical="center"/>
    </xf>
    <xf numFmtId="2" fontId="2" fillId="9" borderId="15" xfId="0" applyNumberFormat="1" applyFont="1" applyFill="1" applyBorder="1" applyAlignment="1" applyProtection="1">
      <alignment horizontal="center" vertical="center"/>
      <protection locked="0"/>
    </xf>
    <xf numFmtId="164" fontId="2" fillId="9" borderId="15" xfId="0" applyNumberFormat="1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83" fillId="2" borderId="0" xfId="0" applyFont="1" applyFill="1" applyAlignment="1">
      <alignment horizontal="center" vertical="center"/>
    </xf>
    <xf numFmtId="1" fontId="18" fillId="14" borderId="15" xfId="0" applyNumberFormat="1" applyFont="1" applyFill="1" applyBorder="1" applyAlignment="1">
      <alignment horizontal="center"/>
    </xf>
    <xf numFmtId="187" fontId="83" fillId="14" borderId="15" xfId="0" applyNumberFormat="1" applyFont="1" applyFill="1" applyBorder="1" applyAlignment="1">
      <alignment horizontal="center"/>
    </xf>
    <xf numFmtId="187" fontId="83" fillId="14" borderId="15" xfId="0" applyNumberFormat="1" applyFont="1" applyFill="1" applyBorder="1" applyAlignment="1">
      <alignment horizontal="center" vertical="center"/>
    </xf>
    <xf numFmtId="164" fontId="83" fillId="2" borderId="0" xfId="0" applyNumberFormat="1" applyFont="1" applyFill="1" applyAlignment="1">
      <alignment horizontal="center" vertical="center"/>
    </xf>
    <xf numFmtId="164" fontId="18" fillId="2" borderId="0" xfId="0" applyNumberFormat="1" applyFont="1" applyFill="1" applyAlignment="1">
      <alignment horizontal="center"/>
    </xf>
    <xf numFmtId="165" fontId="4" fillId="2" borderId="0" xfId="0" applyNumberFormat="1" applyFont="1" applyFill="1" applyAlignment="1">
      <alignment horizontal="center" vertical="center"/>
    </xf>
    <xf numFmtId="164" fontId="4" fillId="2" borderId="0" xfId="0" applyNumberFormat="1" applyFont="1" applyFill="1" applyAlignment="1">
      <alignment horizontal="center" vertical="center"/>
    </xf>
    <xf numFmtId="164" fontId="4" fillId="2" borderId="0" xfId="0" applyNumberFormat="1" applyFont="1" applyFill="1" applyAlignment="1">
      <alignment horizontal="center"/>
    </xf>
    <xf numFmtId="165" fontId="4" fillId="2" borderId="0" xfId="0" applyNumberFormat="1" applyFont="1" applyFill="1" applyAlignment="1">
      <alignment horizontal="center"/>
    </xf>
    <xf numFmtId="0" fontId="4" fillId="2" borderId="0" xfId="0" quotePrefix="1" applyFont="1" applyFill="1" applyAlignment="1">
      <alignment horizontal="center"/>
    </xf>
    <xf numFmtId="0" fontId="4" fillId="2" borderId="0" xfId="2" applyFont="1" applyFill="1"/>
    <xf numFmtId="0" fontId="13" fillId="2" borderId="0" xfId="2" applyFont="1" applyFill="1"/>
    <xf numFmtId="0" fontId="84" fillId="0" borderId="0" xfId="0" applyFont="1"/>
    <xf numFmtId="0" fontId="4" fillId="0" borderId="63" xfId="0" applyFont="1" applyBorder="1"/>
    <xf numFmtId="0" fontId="4" fillId="0" borderId="65" xfId="0" applyFont="1" applyBorder="1"/>
    <xf numFmtId="0" fontId="4" fillId="0" borderId="35" xfId="0" applyFont="1" applyBorder="1"/>
    <xf numFmtId="0" fontId="4" fillId="0" borderId="36" xfId="0" applyFont="1" applyBorder="1"/>
    <xf numFmtId="0" fontId="6" fillId="0" borderId="35" xfId="0" applyFont="1" applyBorder="1"/>
    <xf numFmtId="0" fontId="4" fillId="0" borderId="35" xfId="0" quotePrefix="1" applyFont="1" applyBorder="1" applyAlignment="1">
      <alignment horizontal="left"/>
    </xf>
    <xf numFmtId="0" fontId="9" fillId="0" borderId="0" xfId="0" applyFont="1"/>
    <xf numFmtId="0" fontId="4" fillId="0" borderId="32" xfId="0" applyFont="1" applyBorder="1"/>
    <xf numFmtId="0" fontId="4" fillId="0" borderId="34" xfId="0" applyFont="1" applyBorder="1"/>
    <xf numFmtId="0" fontId="6" fillId="2" borderId="14" xfId="0" applyFont="1" applyFill="1" applyBorder="1" applyAlignment="1">
      <alignment vertical="center"/>
    </xf>
    <xf numFmtId="0" fontId="6" fillId="2" borderId="16" xfId="0" applyFont="1" applyFill="1" applyBorder="1" applyAlignment="1">
      <alignment vertical="center"/>
    </xf>
    <xf numFmtId="0" fontId="6" fillId="2" borderId="17" xfId="0" applyFont="1" applyFill="1" applyBorder="1" applyAlignment="1">
      <alignment vertical="center"/>
    </xf>
    <xf numFmtId="0" fontId="5" fillId="2" borderId="17" xfId="0" applyFont="1" applyFill="1" applyBorder="1" applyAlignment="1">
      <alignment horizontal="center" vertical="center"/>
    </xf>
    <xf numFmtId="1" fontId="4" fillId="2" borderId="40" xfId="0" applyNumberFormat="1" applyFont="1" applyFill="1" applyBorder="1" applyAlignment="1">
      <alignment horizontal="center" vertical="center"/>
    </xf>
    <xf numFmtId="0" fontId="35" fillId="0" borderId="49" xfId="0" applyFont="1" applyBorder="1" applyAlignment="1">
      <alignment horizontal="center" vertical="center"/>
    </xf>
    <xf numFmtId="0" fontId="35" fillId="0" borderId="14" xfId="0" applyFont="1" applyBorder="1"/>
    <xf numFmtId="0" fontId="35" fillId="0" borderId="16" xfId="0" applyFont="1" applyBorder="1"/>
    <xf numFmtId="0" fontId="35" fillId="0" borderId="38" xfId="0" applyFont="1" applyBorder="1"/>
    <xf numFmtId="0" fontId="35" fillId="0" borderId="39" xfId="0" applyFont="1" applyBorder="1" applyAlignment="1">
      <alignment horizontal="center" vertical="center"/>
    </xf>
    <xf numFmtId="0" fontId="6" fillId="2" borderId="11" xfId="0" applyFont="1" applyFill="1" applyBorder="1" applyAlignment="1">
      <alignment vertical="center"/>
    </xf>
    <xf numFmtId="0" fontId="6" fillId="2" borderId="2" xfId="0" applyFont="1" applyFill="1" applyBorder="1" applyAlignment="1">
      <alignment vertical="center"/>
    </xf>
    <xf numFmtId="0" fontId="6" fillId="2" borderId="21" xfId="0" applyFont="1" applyFill="1" applyBorder="1" applyAlignment="1">
      <alignment vertical="center"/>
    </xf>
    <xf numFmtId="0" fontId="4" fillId="2" borderId="40" xfId="0" applyFont="1" applyFill="1" applyBorder="1" applyAlignment="1">
      <alignment horizontal="center" vertical="center"/>
    </xf>
    <xf numFmtId="0" fontId="4" fillId="0" borderId="39" xfId="0" applyFont="1" applyBorder="1" applyAlignment="1">
      <alignment horizontal="center" vertical="center"/>
    </xf>
    <xf numFmtId="0" fontId="4" fillId="0" borderId="16" xfId="0" applyFont="1" applyBorder="1"/>
    <xf numFmtId="0" fontId="4" fillId="0" borderId="38" xfId="0" applyFont="1" applyBorder="1"/>
    <xf numFmtId="0" fontId="85" fillId="14" borderId="66" xfId="0" applyFont="1" applyFill="1" applyBorder="1" applyAlignment="1">
      <alignment horizontal="left"/>
    </xf>
    <xf numFmtId="0" fontId="85" fillId="14" borderId="43" xfId="0" applyFont="1" applyFill="1" applyBorder="1" applyAlignment="1">
      <alignment horizontal="left"/>
    </xf>
    <xf numFmtId="0" fontId="85" fillId="14" borderId="72" xfId="0" applyFont="1" applyFill="1" applyBorder="1" applyAlignment="1">
      <alignment horizontal="left"/>
    </xf>
    <xf numFmtId="0" fontId="35" fillId="0" borderId="0" xfId="0" applyFont="1"/>
    <xf numFmtId="0" fontId="4" fillId="2" borderId="64" xfId="0" applyFont="1" applyFill="1" applyBorder="1" applyAlignment="1">
      <alignment horizontal="center" vertical="center"/>
    </xf>
    <xf numFmtId="0" fontId="4" fillId="2" borderId="65" xfId="0" applyFont="1" applyFill="1" applyBorder="1" applyAlignment="1">
      <alignment horizontal="center" vertical="center"/>
    </xf>
    <xf numFmtId="0" fontId="35" fillId="0" borderId="16" xfId="0" applyFont="1" applyBorder="1" applyAlignment="1">
      <alignment horizontal="center" vertical="center"/>
    </xf>
    <xf numFmtId="0" fontId="35" fillId="0" borderId="17" xfId="0" applyFont="1" applyBorder="1"/>
    <xf numFmtId="0" fontId="35" fillId="0" borderId="40" xfId="0" applyFont="1" applyBorder="1" applyAlignment="1">
      <alignment horizontal="center"/>
    </xf>
    <xf numFmtId="0" fontId="86" fillId="0" borderId="0" xfId="0" applyFont="1"/>
    <xf numFmtId="0" fontId="35" fillId="0" borderId="0" xfId="0" applyFont="1" applyAlignment="1">
      <alignment horizontal="center" vertical="center"/>
    </xf>
    <xf numFmtId="0" fontId="35" fillId="2" borderId="12" xfId="0" quotePrefix="1" applyFont="1" applyFill="1" applyBorder="1" applyAlignment="1">
      <alignment vertical="center"/>
    </xf>
    <xf numFmtId="0" fontId="35" fillId="0" borderId="12" xfId="0" applyFont="1" applyBorder="1" applyAlignment="1">
      <alignment horizontal="center" vertical="center"/>
    </xf>
    <xf numFmtId="0" fontId="35" fillId="0" borderId="12" xfId="0" applyFont="1" applyBorder="1"/>
    <xf numFmtId="0" fontId="4" fillId="2" borderId="12" xfId="0" applyFont="1" applyFill="1" applyBorder="1" applyAlignment="1">
      <alignment horizontal="center" vertical="center"/>
    </xf>
    <xf numFmtId="0" fontId="4" fillId="0" borderId="12" xfId="0" applyFont="1" applyBorder="1"/>
    <xf numFmtId="0" fontId="35" fillId="0" borderId="41" xfId="0" applyFont="1" applyBorder="1"/>
    <xf numFmtId="0" fontId="35" fillId="2" borderId="15" xfId="0" quotePrefix="1" applyFont="1" applyFill="1" applyBorder="1" applyAlignment="1">
      <alignment vertical="center"/>
    </xf>
    <xf numFmtId="0" fontId="35" fillId="0" borderId="15" xfId="0" applyFont="1" applyBorder="1" applyAlignment="1">
      <alignment horizontal="center" vertical="center"/>
    </xf>
    <xf numFmtId="0" fontId="35" fillId="0" borderId="15" xfId="0" applyFont="1" applyBorder="1"/>
    <xf numFmtId="0" fontId="4" fillId="2" borderId="15" xfId="0" applyFont="1" applyFill="1" applyBorder="1" applyAlignment="1">
      <alignment horizontal="center" vertical="center"/>
    </xf>
    <xf numFmtId="0" fontId="4" fillId="0" borderId="15" xfId="0" applyFont="1" applyBorder="1"/>
    <xf numFmtId="0" fontId="86" fillId="0" borderId="66" xfId="0" applyFont="1" applyBorder="1"/>
    <xf numFmtId="0" fontId="86" fillId="0" borderId="43" xfId="0" applyFont="1" applyBorder="1"/>
    <xf numFmtId="0" fontId="86" fillId="0" borderId="34" xfId="0" applyFont="1" applyBorder="1"/>
    <xf numFmtId="0" fontId="86" fillId="0" borderId="0" xfId="0" applyFont="1" applyAlignment="1">
      <alignment horizontal="center" vertical="center"/>
    </xf>
    <xf numFmtId="0" fontId="35" fillId="2" borderId="0" xfId="0" quotePrefix="1" applyFont="1" applyFill="1" applyAlignment="1">
      <alignment vertical="center"/>
    </xf>
    <xf numFmtId="0" fontId="13" fillId="15" borderId="17" xfId="2" applyFont="1" applyFill="1" applyBorder="1" applyAlignment="1">
      <alignment horizontal="left" vertical="center"/>
    </xf>
    <xf numFmtId="0" fontId="13" fillId="15" borderId="15" xfId="2" applyFont="1" applyFill="1" applyBorder="1" applyAlignment="1">
      <alignment horizontal="left" vertical="center"/>
    </xf>
    <xf numFmtId="0" fontId="7" fillId="15" borderId="0" xfId="2" applyFont="1" applyFill="1"/>
    <xf numFmtId="2" fontId="7" fillId="15" borderId="0" xfId="2" applyNumberFormat="1" applyFont="1" applyFill="1"/>
    <xf numFmtId="0" fontId="5" fillId="15" borderId="17" xfId="0" applyFont="1" applyFill="1" applyBorder="1" applyAlignment="1">
      <alignment horizontal="center" vertical="center"/>
    </xf>
    <xf numFmtId="0" fontId="7" fillId="15" borderId="15" xfId="2" applyFont="1" applyFill="1" applyBorder="1" applyAlignment="1">
      <alignment horizontal="center" vertical="center"/>
    </xf>
    <xf numFmtId="2" fontId="7" fillId="15" borderId="15" xfId="2" applyNumberFormat="1" applyFont="1" applyFill="1" applyBorder="1" applyAlignment="1">
      <alignment horizontal="center" vertical="center"/>
    </xf>
    <xf numFmtId="0" fontId="4" fillId="15" borderId="17" xfId="0" applyFont="1" applyFill="1" applyBorder="1" applyAlignment="1">
      <alignment horizontal="center" vertical="center"/>
    </xf>
    <xf numFmtId="2" fontId="4" fillId="15" borderId="15" xfId="0" applyNumberFormat="1" applyFont="1" applyFill="1" applyBorder="1" applyAlignment="1">
      <alignment horizontal="center" vertical="center"/>
    </xf>
    <xf numFmtId="2" fontId="48" fillId="2" borderId="4" xfId="0" applyNumberFormat="1" applyFont="1" applyFill="1" applyBorder="1" applyAlignment="1">
      <alignment horizontal="left" vertical="center"/>
    </xf>
    <xf numFmtId="2" fontId="48" fillId="2" borderId="6" xfId="0" applyNumberFormat="1" applyFont="1" applyFill="1" applyBorder="1" applyAlignment="1">
      <alignment horizontal="left" vertical="center"/>
    </xf>
    <xf numFmtId="2" fontId="48" fillId="2" borderId="8" xfId="0" applyNumberFormat="1" applyFont="1" applyFill="1" applyBorder="1" applyAlignment="1">
      <alignment horizontal="left" vertical="center"/>
    </xf>
    <xf numFmtId="2" fontId="2" fillId="0" borderId="0" xfId="0" applyNumberFormat="1" applyFont="1" applyAlignment="1">
      <alignment horizontal="right"/>
    </xf>
    <xf numFmtId="2" fontId="2" fillId="2" borderId="59" xfId="0" applyNumberFormat="1" applyFont="1" applyFill="1" applyBorder="1" applyAlignment="1">
      <alignment horizontal="right" vertical="center"/>
    </xf>
    <xf numFmtId="2" fontId="4" fillId="2" borderId="48" xfId="0" applyNumberFormat="1" applyFont="1" applyFill="1" applyBorder="1" applyAlignment="1">
      <alignment horizontal="right" vertical="center"/>
    </xf>
    <xf numFmtId="164" fontId="4" fillId="2" borderId="14" xfId="0" applyNumberFormat="1" applyFont="1" applyFill="1" applyBorder="1" applyAlignment="1">
      <alignment horizontal="right" vertical="center"/>
    </xf>
    <xf numFmtId="2" fontId="4" fillId="2" borderId="19" xfId="0" applyNumberFormat="1" applyFont="1" applyFill="1" applyBorder="1" applyAlignment="1">
      <alignment horizontal="right" vertical="center"/>
    </xf>
    <xf numFmtId="2" fontId="38" fillId="2" borderId="50" xfId="0" applyNumberFormat="1" applyFont="1" applyFill="1" applyBorder="1" applyAlignment="1">
      <alignment horizontal="right" vertical="center"/>
    </xf>
    <xf numFmtId="165" fontId="2" fillId="9" borderId="57" xfId="0" applyNumberFormat="1" applyFont="1" applyFill="1" applyBorder="1" applyAlignment="1">
      <alignment horizontal="right" vertical="center" wrapText="1"/>
    </xf>
    <xf numFmtId="164" fontId="2" fillId="9" borderId="39" xfId="0" applyNumberFormat="1" applyFont="1" applyFill="1" applyBorder="1" applyAlignment="1">
      <alignment horizontal="right" vertical="center" wrapText="1"/>
    </xf>
    <xf numFmtId="165" fontId="2" fillId="9" borderId="39" xfId="0" applyNumberFormat="1" applyFont="1" applyFill="1" applyBorder="1" applyAlignment="1">
      <alignment horizontal="right" vertical="center" wrapText="1"/>
    </xf>
    <xf numFmtId="2" fontId="39" fillId="9" borderId="53" xfId="0" applyNumberFormat="1" applyFont="1" applyFill="1" applyBorder="1" applyAlignment="1">
      <alignment horizontal="right" vertical="center" wrapText="1"/>
    </xf>
    <xf numFmtId="1" fontId="48" fillId="0" borderId="15" xfId="0" applyNumberFormat="1" applyFont="1" applyBorder="1" applyAlignment="1">
      <alignment horizontal="center" vertical="center"/>
    </xf>
    <xf numFmtId="1" fontId="18" fillId="2" borderId="49" xfId="0" applyNumberFormat="1" applyFont="1" applyFill="1" applyBorder="1" applyAlignment="1">
      <alignment horizontal="center"/>
    </xf>
    <xf numFmtId="1" fontId="18" fillId="2" borderId="15" xfId="0" applyNumberFormat="1" applyFont="1" applyFill="1" applyBorder="1" applyAlignment="1">
      <alignment horizontal="center"/>
    </xf>
    <xf numFmtId="1" fontId="18" fillId="2" borderId="62" xfId="0" applyNumberFormat="1" applyFont="1" applyFill="1" applyBorder="1" applyAlignment="1">
      <alignment horizontal="center"/>
    </xf>
    <xf numFmtId="1" fontId="18" fillId="2" borderId="50" xfId="0" applyNumberFormat="1" applyFont="1" applyFill="1" applyBorder="1" applyAlignment="1">
      <alignment horizontal="center"/>
    </xf>
    <xf numFmtId="0" fontId="21" fillId="2" borderId="5" xfId="0" applyFont="1" applyFill="1" applyBorder="1" applyAlignment="1">
      <alignment vertical="center"/>
    </xf>
    <xf numFmtId="0" fontId="21" fillId="2" borderId="7" xfId="0" applyFont="1" applyFill="1" applyBorder="1" applyAlignment="1">
      <alignment vertical="center"/>
    </xf>
    <xf numFmtId="2" fontId="39" fillId="2" borderId="15" xfId="0" applyNumberFormat="1" applyFont="1" applyFill="1" applyBorder="1" applyAlignment="1">
      <alignment horizontal="center" vertical="center" wrapText="1"/>
    </xf>
    <xf numFmtId="2" fontId="38" fillId="2" borderId="0" xfId="0" applyNumberFormat="1" applyFont="1" applyFill="1" applyAlignment="1">
      <alignment horizontal="center" vertical="center"/>
    </xf>
    <xf numFmtId="0" fontId="21" fillId="2" borderId="18" xfId="0" applyFont="1" applyFill="1" applyBorder="1" applyAlignment="1">
      <alignment horizontal="center" vertical="center" wrapText="1"/>
    </xf>
    <xf numFmtId="0" fontId="21" fillId="2" borderId="22" xfId="0" applyFont="1" applyFill="1" applyBorder="1" applyAlignment="1">
      <alignment horizontal="center" vertical="center" wrapText="1"/>
    </xf>
    <xf numFmtId="0" fontId="21" fillId="2" borderId="12" xfId="0" applyFont="1" applyFill="1" applyBorder="1" applyAlignment="1">
      <alignment horizontal="center" vertical="center" wrapText="1"/>
    </xf>
    <xf numFmtId="173" fontId="21" fillId="2" borderId="18" xfId="0" quotePrefix="1" applyNumberFormat="1" applyFont="1" applyFill="1" applyBorder="1" applyAlignment="1">
      <alignment horizontal="center" vertical="center" wrapText="1"/>
    </xf>
    <xf numFmtId="173" fontId="21" fillId="2" borderId="22" xfId="0" quotePrefix="1" applyNumberFormat="1" applyFont="1" applyFill="1" applyBorder="1" applyAlignment="1">
      <alignment horizontal="center" vertical="center" wrapText="1"/>
    </xf>
    <xf numFmtId="173" fontId="21" fillId="2" borderId="12" xfId="0" quotePrefix="1" applyNumberFormat="1" applyFont="1" applyFill="1" applyBorder="1" applyAlignment="1">
      <alignment horizontal="center" vertical="center" wrapText="1"/>
    </xf>
    <xf numFmtId="0" fontId="20" fillId="2" borderId="0" xfId="0" applyFont="1" applyFill="1" applyAlignment="1">
      <alignment horizontal="center" vertical="center" wrapText="1"/>
    </xf>
    <xf numFmtId="0" fontId="8" fillId="2" borderId="18" xfId="0" applyFont="1" applyFill="1" applyBorder="1" applyAlignment="1">
      <alignment horizontal="center" vertical="center" wrapText="1"/>
    </xf>
    <xf numFmtId="0" fontId="8" fillId="2" borderId="12" xfId="0" applyFont="1" applyFill="1" applyBorder="1" applyAlignment="1">
      <alignment horizontal="center" vertical="center" wrapText="1"/>
    </xf>
    <xf numFmtId="0" fontId="20" fillId="2" borderId="18" xfId="0" applyFont="1" applyFill="1" applyBorder="1" applyAlignment="1">
      <alignment horizontal="center" vertical="center" wrapText="1"/>
    </xf>
    <xf numFmtId="0" fontId="20" fillId="2" borderId="12" xfId="0" applyFont="1" applyFill="1" applyBorder="1" applyAlignment="1">
      <alignment horizontal="center" vertical="center" wrapText="1"/>
    </xf>
    <xf numFmtId="0" fontId="8" fillId="2" borderId="14" xfId="0" applyFont="1" applyFill="1" applyBorder="1" applyAlignment="1">
      <alignment horizontal="center" vertical="center" wrapText="1"/>
    </xf>
    <xf numFmtId="0" fontId="8" fillId="2" borderId="16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21" fillId="2" borderId="18" xfId="0" quotePrefix="1" applyFont="1" applyFill="1" applyBorder="1" applyAlignment="1">
      <alignment horizontal="center" vertical="center" wrapText="1"/>
    </xf>
    <xf numFmtId="0" fontId="21" fillId="2" borderId="12" xfId="0" quotePrefix="1" applyFont="1" applyFill="1" applyBorder="1" applyAlignment="1">
      <alignment horizontal="center" vertical="center" wrapText="1"/>
    </xf>
    <xf numFmtId="0" fontId="23" fillId="2" borderId="0" xfId="0" applyFont="1" applyFill="1" applyAlignment="1">
      <alignment horizontal="center"/>
    </xf>
    <xf numFmtId="0" fontId="25" fillId="2" borderId="0" xfId="0" applyFont="1" applyFill="1" applyAlignment="1">
      <alignment horizontal="center"/>
    </xf>
    <xf numFmtId="0" fontId="3" fillId="2" borderId="18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 wrapText="1"/>
    </xf>
    <xf numFmtId="2" fontId="20" fillId="2" borderId="0" xfId="0" applyNumberFormat="1" applyFont="1" applyFill="1" applyAlignment="1">
      <alignment horizontal="center" vertical="center" wrapText="1"/>
    </xf>
    <xf numFmtId="0" fontId="3" fillId="2" borderId="18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10" fillId="2" borderId="30" xfId="0" applyFont="1" applyFill="1" applyBorder="1" applyAlignment="1">
      <alignment horizontal="center" vertical="center"/>
    </xf>
    <xf numFmtId="0" fontId="10" fillId="2" borderId="23" xfId="0" applyFont="1" applyFill="1" applyBorder="1" applyAlignment="1">
      <alignment horizontal="center" vertical="center"/>
    </xf>
    <xf numFmtId="0" fontId="10" fillId="2" borderId="31" xfId="0" applyFont="1" applyFill="1" applyBorder="1" applyAlignment="1">
      <alignment horizontal="center" vertical="center"/>
    </xf>
    <xf numFmtId="0" fontId="10" fillId="2" borderId="35" xfId="0" applyFont="1" applyFill="1" applyBorder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10" fillId="2" borderId="36" xfId="0" applyFont="1" applyFill="1" applyBorder="1" applyAlignment="1">
      <alignment horizontal="center" vertical="center"/>
    </xf>
    <xf numFmtId="0" fontId="8" fillId="0" borderId="63" xfId="0" applyFont="1" applyBorder="1" applyAlignment="1" applyProtection="1">
      <alignment horizontal="center" vertical="center" wrapText="1"/>
      <protection locked="0"/>
    </xf>
    <xf numFmtId="0" fontId="8" fillId="0" borderId="65" xfId="0" applyFont="1" applyBorder="1" applyAlignment="1" applyProtection="1">
      <alignment horizontal="center" vertical="center" wrapText="1"/>
      <protection locked="0"/>
    </xf>
    <xf numFmtId="0" fontId="8" fillId="0" borderId="32" xfId="0" applyFont="1" applyBorder="1" applyAlignment="1" applyProtection="1">
      <alignment horizontal="center" vertical="center" wrapText="1"/>
      <protection locked="0"/>
    </xf>
    <xf numFmtId="0" fontId="8" fillId="0" borderId="34" xfId="0" applyFont="1" applyBorder="1" applyAlignment="1" applyProtection="1">
      <alignment horizontal="center" vertical="center" wrapText="1"/>
      <protection locked="0"/>
    </xf>
    <xf numFmtId="173" fontId="21" fillId="2" borderId="9" xfId="1" applyNumberFormat="1" applyFont="1" applyFill="1" applyBorder="1" applyAlignment="1" applyProtection="1">
      <alignment horizontal="center" vertical="center"/>
    </xf>
    <xf numFmtId="173" fontId="21" fillId="2" borderId="10" xfId="1" applyNumberFormat="1" applyFont="1" applyFill="1" applyBorder="1" applyAlignment="1" applyProtection="1">
      <alignment horizontal="center" vertical="center"/>
    </xf>
    <xf numFmtId="173" fontId="21" fillId="2" borderId="13" xfId="1" applyNumberFormat="1" applyFont="1" applyFill="1" applyBorder="1" applyAlignment="1" applyProtection="1">
      <alignment horizontal="center" vertical="center"/>
    </xf>
    <xf numFmtId="0" fontId="21" fillId="2" borderId="15" xfId="0" applyFont="1" applyFill="1" applyBorder="1" applyAlignment="1">
      <alignment horizontal="center" vertical="center" wrapText="1"/>
    </xf>
    <xf numFmtId="0" fontId="26" fillId="2" borderId="0" xfId="0" applyFont="1" applyFill="1" applyAlignment="1" applyProtection="1">
      <alignment horizontal="left" vertical="center" wrapText="1"/>
      <protection locked="0"/>
    </xf>
    <xf numFmtId="174" fontId="40" fillId="8" borderId="19" xfId="0" applyNumberFormat="1" applyFont="1" applyFill="1" applyBorder="1" applyAlignment="1">
      <alignment horizontal="center" vertical="center"/>
    </xf>
    <xf numFmtId="174" fontId="40" fillId="8" borderId="20" xfId="0" applyNumberFormat="1" applyFont="1" applyFill="1" applyBorder="1" applyAlignment="1">
      <alignment horizontal="center" vertical="center"/>
    </xf>
    <xf numFmtId="174" fontId="40" fillId="8" borderId="11" xfId="0" applyNumberFormat="1" applyFont="1" applyFill="1" applyBorder="1" applyAlignment="1">
      <alignment horizontal="center" vertical="center"/>
    </xf>
    <xf numFmtId="174" fontId="40" fillId="8" borderId="21" xfId="0" applyNumberFormat="1" applyFont="1" applyFill="1" applyBorder="1" applyAlignment="1">
      <alignment horizontal="center" vertical="center"/>
    </xf>
    <xf numFmtId="0" fontId="21" fillId="2" borderId="14" xfId="0" applyFont="1" applyFill="1" applyBorder="1" applyAlignment="1">
      <alignment horizontal="center" vertical="center"/>
    </xf>
    <xf numFmtId="0" fontId="21" fillId="2" borderId="16" xfId="0" applyFont="1" applyFill="1" applyBorder="1" applyAlignment="1">
      <alignment horizontal="center" vertical="center"/>
    </xf>
    <xf numFmtId="0" fontId="21" fillId="2" borderId="17" xfId="0" applyFont="1" applyFill="1" applyBorder="1" applyAlignment="1">
      <alignment horizontal="center" vertical="center"/>
    </xf>
    <xf numFmtId="165" fontId="21" fillId="2" borderId="14" xfId="0" applyNumberFormat="1" applyFont="1" applyFill="1" applyBorder="1" applyAlignment="1">
      <alignment horizontal="center" vertical="center"/>
    </xf>
    <xf numFmtId="165" fontId="21" fillId="2" borderId="17" xfId="0" applyNumberFormat="1" applyFont="1" applyFill="1" applyBorder="1" applyAlignment="1">
      <alignment horizontal="center" vertical="center"/>
    </xf>
    <xf numFmtId="0" fontId="8" fillId="2" borderId="15" xfId="0" applyFont="1" applyFill="1" applyBorder="1" applyAlignment="1">
      <alignment horizontal="center" vertical="center"/>
    </xf>
    <xf numFmtId="0" fontId="8" fillId="2" borderId="15" xfId="0" applyFont="1" applyFill="1" applyBorder="1" applyAlignment="1">
      <alignment horizontal="center" vertical="center" wrapText="1"/>
    </xf>
    <xf numFmtId="0" fontId="12" fillId="2" borderId="15" xfId="0" applyFont="1" applyFill="1" applyBorder="1" applyAlignment="1">
      <alignment horizontal="center" vertical="center" wrapText="1"/>
    </xf>
    <xf numFmtId="0" fontId="21" fillId="2" borderId="9" xfId="0" applyFont="1" applyFill="1" applyBorder="1" applyAlignment="1">
      <alignment horizontal="center" vertical="center" wrapText="1"/>
    </xf>
    <xf numFmtId="188" fontId="21" fillId="2" borderId="14" xfId="0" applyNumberFormat="1" applyFont="1" applyFill="1" applyBorder="1" applyAlignment="1">
      <alignment horizontal="center" vertical="center"/>
    </xf>
    <xf numFmtId="188" fontId="21" fillId="2" borderId="17" xfId="0" applyNumberFormat="1" applyFont="1" applyFill="1" applyBorder="1" applyAlignment="1">
      <alignment horizontal="center" vertical="center"/>
    </xf>
    <xf numFmtId="167" fontId="21" fillId="2" borderId="16" xfId="0" applyNumberFormat="1" applyFont="1" applyFill="1" applyBorder="1" applyAlignment="1">
      <alignment horizontal="center" vertical="center"/>
    </xf>
    <xf numFmtId="167" fontId="21" fillId="2" borderId="17" xfId="0" applyNumberFormat="1" applyFont="1" applyFill="1" applyBorder="1" applyAlignment="1">
      <alignment horizontal="center" vertical="center"/>
    </xf>
    <xf numFmtId="0" fontId="23" fillId="2" borderId="0" xfId="0" applyFont="1" applyFill="1" applyAlignment="1">
      <alignment horizontal="center" vertical="center"/>
    </xf>
    <xf numFmtId="0" fontId="25" fillId="2" borderId="0" xfId="0" applyFont="1" applyFill="1" applyAlignment="1">
      <alignment horizontal="center" vertical="center"/>
    </xf>
    <xf numFmtId="0" fontId="26" fillId="2" borderId="14" xfId="0" applyFont="1" applyFill="1" applyBorder="1" applyAlignment="1">
      <alignment horizontal="center" vertical="center"/>
    </xf>
    <xf numFmtId="0" fontId="26" fillId="2" borderId="17" xfId="0" applyFont="1" applyFill="1" applyBorder="1" applyAlignment="1">
      <alignment horizontal="center" vertical="center"/>
    </xf>
    <xf numFmtId="165" fontId="21" fillId="2" borderId="9" xfId="0" applyNumberFormat="1" applyFont="1" applyFill="1" applyBorder="1" applyAlignment="1">
      <alignment horizontal="center" vertical="center"/>
    </xf>
    <xf numFmtId="165" fontId="21" fillId="2" borderId="13" xfId="0" applyNumberFormat="1" applyFont="1" applyFill="1" applyBorder="1" applyAlignment="1">
      <alignment horizontal="center" vertical="center"/>
    </xf>
    <xf numFmtId="171" fontId="21" fillId="2" borderId="9" xfId="1" applyNumberFormat="1" applyFont="1" applyFill="1" applyBorder="1" applyAlignment="1" applyProtection="1">
      <alignment horizontal="center" vertical="center"/>
    </xf>
    <xf numFmtId="171" fontId="21" fillId="2" borderId="13" xfId="1" applyNumberFormat="1" applyFont="1" applyFill="1" applyBorder="1" applyAlignment="1" applyProtection="1">
      <alignment horizontal="center" vertical="center"/>
    </xf>
    <xf numFmtId="169" fontId="21" fillId="2" borderId="9" xfId="0" applyNumberFormat="1" applyFont="1" applyFill="1" applyBorder="1" applyAlignment="1">
      <alignment horizontal="center" vertical="center"/>
    </xf>
    <xf numFmtId="169" fontId="21" fillId="2" borderId="13" xfId="0" applyNumberFormat="1" applyFont="1" applyFill="1" applyBorder="1" applyAlignment="1">
      <alignment horizontal="center" vertical="center"/>
    </xf>
    <xf numFmtId="2" fontId="21" fillId="2" borderId="9" xfId="0" applyNumberFormat="1" applyFont="1" applyFill="1" applyBorder="1" applyAlignment="1">
      <alignment horizontal="center" vertical="center"/>
    </xf>
    <xf numFmtId="0" fontId="21" fillId="2" borderId="9" xfId="0" quotePrefix="1" applyFont="1" applyFill="1" applyBorder="1" applyAlignment="1">
      <alignment horizontal="center" vertical="center" wrapText="1"/>
    </xf>
    <xf numFmtId="183" fontId="26" fillId="2" borderId="0" xfId="0" applyNumberFormat="1" applyFont="1" applyFill="1" applyAlignment="1">
      <alignment horizontal="left" vertical="center"/>
    </xf>
    <xf numFmtId="185" fontId="2" fillId="2" borderId="5" xfId="0" applyNumberFormat="1" applyFont="1" applyFill="1" applyBorder="1" applyAlignment="1">
      <alignment horizontal="center" vertical="center" wrapText="1"/>
    </xf>
    <xf numFmtId="185" fontId="2" fillId="2" borderId="6" xfId="0" applyNumberFormat="1" applyFont="1" applyFill="1" applyBorder="1" applyAlignment="1">
      <alignment horizontal="center" vertical="center" wrapText="1"/>
    </xf>
    <xf numFmtId="184" fontId="2" fillId="2" borderId="7" xfId="0" applyNumberFormat="1" applyFont="1" applyFill="1" applyBorder="1" applyAlignment="1">
      <alignment horizontal="center" vertical="center" wrapText="1"/>
    </xf>
    <xf numFmtId="184" fontId="2" fillId="2" borderId="8" xfId="0" applyNumberFormat="1" applyFont="1" applyFill="1" applyBorder="1" applyAlignment="1">
      <alignment horizontal="center" vertical="center" wrapText="1"/>
    </xf>
    <xf numFmtId="170" fontId="26" fillId="2" borderId="0" xfId="0" applyNumberFormat="1" applyFont="1" applyFill="1" applyAlignment="1">
      <alignment horizontal="left" vertical="center"/>
    </xf>
    <xf numFmtId="0" fontId="52" fillId="0" borderId="15" xfId="0" applyFont="1" applyBorder="1" applyAlignment="1">
      <alignment horizontal="center" vertical="center"/>
    </xf>
    <xf numFmtId="0" fontId="21" fillId="0" borderId="15" xfId="0" applyFont="1" applyBorder="1" applyAlignment="1">
      <alignment horizontal="center" vertical="center"/>
    </xf>
    <xf numFmtId="0" fontId="22" fillId="0" borderId="15" xfId="0" applyFont="1" applyBorder="1" applyAlignment="1">
      <alignment horizontal="center" vertical="center"/>
    </xf>
    <xf numFmtId="0" fontId="21" fillId="0" borderId="15" xfId="0" applyFont="1" applyBorder="1" applyAlignment="1">
      <alignment vertical="center"/>
    </xf>
    <xf numFmtId="0" fontId="22" fillId="0" borderId="14" xfId="3" applyFont="1" applyBorder="1" applyAlignment="1">
      <alignment horizontal="center" vertical="center"/>
    </xf>
    <xf numFmtId="0" fontId="22" fillId="0" borderId="16" xfId="3" applyFont="1" applyBorder="1" applyAlignment="1">
      <alignment horizontal="center" vertical="center"/>
    </xf>
    <xf numFmtId="0" fontId="22" fillId="0" borderId="17" xfId="3" applyFont="1" applyBorder="1" applyAlignment="1">
      <alignment horizontal="center" vertical="center"/>
    </xf>
    <xf numFmtId="0" fontId="21" fillId="0" borderId="18" xfId="0" applyFont="1" applyBorder="1" applyAlignment="1">
      <alignment horizontal="center" vertical="center"/>
    </xf>
    <xf numFmtId="0" fontId="21" fillId="0" borderId="12" xfId="0" applyFont="1" applyBorder="1" applyAlignment="1">
      <alignment horizontal="center" vertical="center"/>
    </xf>
    <xf numFmtId="1" fontId="21" fillId="8" borderId="18" xfId="0" applyNumberFormat="1" applyFont="1" applyFill="1" applyBorder="1" applyAlignment="1">
      <alignment horizontal="center" vertical="center"/>
    </xf>
    <xf numFmtId="1" fontId="21" fillId="8" borderId="22" xfId="0" applyNumberFormat="1" applyFont="1" applyFill="1" applyBorder="1" applyAlignment="1">
      <alignment horizontal="center" vertical="center"/>
    </xf>
    <xf numFmtId="1" fontId="21" fillId="8" borderId="12" xfId="0" applyNumberFormat="1" applyFont="1" applyFill="1" applyBorder="1" applyAlignment="1">
      <alignment horizontal="center" vertical="center"/>
    </xf>
    <xf numFmtId="0" fontId="50" fillId="7" borderId="0" xfId="0" applyFont="1" applyFill="1" applyAlignment="1">
      <alignment horizontal="left" vertical="center"/>
    </xf>
    <xf numFmtId="170" fontId="21" fillId="7" borderId="0" xfId="0" quotePrefix="1" applyNumberFormat="1" applyFont="1" applyFill="1" applyAlignment="1">
      <alignment horizontal="left" vertical="center"/>
    </xf>
    <xf numFmtId="188" fontId="21" fillId="7" borderId="0" xfId="0" quotePrefix="1" applyNumberFormat="1" applyFont="1" applyFill="1" applyAlignment="1">
      <alignment horizontal="left" vertical="center"/>
    </xf>
    <xf numFmtId="0" fontId="52" fillId="0" borderId="15" xfId="0" applyFont="1" applyBorder="1" applyAlignment="1" applyProtection="1">
      <alignment horizontal="center" vertical="center"/>
      <protection locked="0"/>
    </xf>
    <xf numFmtId="0" fontId="21" fillId="2" borderId="0" xfId="0" applyFont="1" applyFill="1" applyAlignment="1">
      <alignment horizontal="left" vertical="center" wrapText="1"/>
    </xf>
    <xf numFmtId="0" fontId="21" fillId="7" borderId="0" xfId="0" applyFont="1" applyFill="1" applyAlignment="1">
      <alignment horizontal="left" vertical="center"/>
    </xf>
    <xf numFmtId="0" fontId="48" fillId="2" borderId="3" xfId="0" applyFont="1" applyFill="1" applyBorder="1" applyAlignment="1">
      <alignment horizontal="center" vertical="center"/>
    </xf>
    <xf numFmtId="0" fontId="48" fillId="2" borderId="4" xfId="0" applyFont="1" applyFill="1" applyBorder="1" applyAlignment="1">
      <alignment horizontal="center" vertical="center"/>
    </xf>
    <xf numFmtId="0" fontId="48" fillId="2" borderId="13" xfId="0" quotePrefix="1" applyFont="1" applyFill="1" applyBorder="1" applyAlignment="1">
      <alignment horizontal="center" vertical="center" wrapText="1"/>
    </xf>
    <xf numFmtId="171" fontId="21" fillId="2" borderId="18" xfId="0" quotePrefix="1" applyNumberFormat="1" applyFont="1" applyFill="1" applyBorder="1" applyAlignment="1">
      <alignment horizontal="center" vertical="center" wrapText="1"/>
    </xf>
    <xf numFmtId="171" fontId="21" fillId="2" borderId="12" xfId="0" quotePrefix="1" applyNumberFormat="1" applyFont="1" applyFill="1" applyBorder="1" applyAlignment="1">
      <alignment horizontal="center" vertical="center" wrapText="1"/>
    </xf>
    <xf numFmtId="0" fontId="2" fillId="7" borderId="5" xfId="0" applyFont="1" applyFill="1" applyBorder="1" applyAlignment="1">
      <alignment horizontal="left" vertical="center"/>
    </xf>
    <xf numFmtId="0" fontId="2" fillId="7" borderId="26" xfId="0" applyFont="1" applyFill="1" applyBorder="1" applyAlignment="1">
      <alignment horizontal="left" vertical="center"/>
    </xf>
    <xf numFmtId="0" fontId="2" fillId="7" borderId="6" xfId="0" applyFont="1" applyFill="1" applyBorder="1" applyAlignment="1">
      <alignment horizontal="left" vertical="center"/>
    </xf>
    <xf numFmtId="0" fontId="2" fillId="7" borderId="7" xfId="0" applyFont="1" applyFill="1" applyBorder="1" applyAlignment="1">
      <alignment horizontal="left" vertical="center"/>
    </xf>
    <xf numFmtId="0" fontId="2" fillId="7" borderId="25" xfId="0" applyFont="1" applyFill="1" applyBorder="1" applyAlignment="1">
      <alignment horizontal="left" vertical="center"/>
    </xf>
    <xf numFmtId="0" fontId="29" fillId="2" borderId="0" xfId="0" applyFont="1" applyFill="1" applyAlignment="1">
      <alignment horizontal="center" vertical="center" wrapText="1"/>
    </xf>
    <xf numFmtId="186" fontId="21" fillId="0" borderId="5" xfId="0" applyNumberFormat="1" applyFont="1" applyBorder="1" applyAlignment="1" applyProtection="1">
      <alignment horizontal="center" vertical="center" wrapText="1"/>
      <protection locked="0"/>
    </xf>
    <xf numFmtId="186" fontId="21" fillId="0" borderId="6" xfId="0" applyNumberFormat="1" applyFont="1" applyBorder="1" applyAlignment="1" applyProtection="1">
      <alignment horizontal="center" vertical="center" wrapText="1"/>
      <protection locked="0"/>
    </xf>
    <xf numFmtId="184" fontId="21" fillId="0" borderId="7" xfId="0" applyNumberFormat="1" applyFont="1" applyBorder="1" applyAlignment="1">
      <alignment horizontal="center" vertical="center" wrapText="1"/>
    </xf>
    <xf numFmtId="184" fontId="21" fillId="0" borderId="8" xfId="0" applyNumberFormat="1" applyFont="1" applyBorder="1" applyAlignment="1">
      <alignment horizontal="center" vertical="center" wrapText="1"/>
    </xf>
    <xf numFmtId="0" fontId="48" fillId="2" borderId="4" xfId="0" applyFont="1" applyFill="1" applyBorder="1" applyAlignment="1">
      <alignment horizontal="center" vertical="center" wrapText="1"/>
    </xf>
    <xf numFmtId="0" fontId="48" fillId="2" borderId="9" xfId="0" applyFont="1" applyFill="1" applyBorder="1" applyAlignment="1">
      <alignment horizontal="center" vertical="center" wrapText="1"/>
    </xf>
    <xf numFmtId="0" fontId="48" fillId="2" borderId="6" xfId="0" applyFont="1" applyFill="1" applyBorder="1" applyAlignment="1">
      <alignment horizontal="center" vertical="center" wrapText="1"/>
    </xf>
    <xf numFmtId="0" fontId="48" fillId="2" borderId="10" xfId="0" applyFont="1" applyFill="1" applyBorder="1" applyAlignment="1">
      <alignment horizontal="center" vertical="center" wrapText="1"/>
    </xf>
    <xf numFmtId="0" fontId="48" fillId="2" borderId="13" xfId="0" applyFont="1" applyFill="1" applyBorder="1" applyAlignment="1">
      <alignment horizontal="center" vertical="center" wrapText="1"/>
    </xf>
    <xf numFmtId="0" fontId="21" fillId="2" borderId="0" xfId="0" applyFont="1" applyFill="1" applyAlignment="1">
      <alignment horizontal="left" vertical="center"/>
    </xf>
    <xf numFmtId="0" fontId="21" fillId="2" borderId="25" xfId="0" applyFont="1" applyFill="1" applyBorder="1" applyAlignment="1">
      <alignment horizontal="left" vertical="center" wrapText="1"/>
    </xf>
    <xf numFmtId="0" fontId="21" fillId="2" borderId="8" xfId="0" applyFont="1" applyFill="1" applyBorder="1" applyAlignment="1">
      <alignment horizontal="left" vertical="center" wrapText="1"/>
    </xf>
    <xf numFmtId="0" fontId="21" fillId="2" borderId="13" xfId="0" applyFont="1" applyFill="1" applyBorder="1" applyAlignment="1">
      <alignment horizontal="center" vertical="center" wrapText="1"/>
    </xf>
    <xf numFmtId="0" fontId="21" fillId="0" borderId="0" xfId="0" applyFont="1" applyAlignment="1" applyProtection="1">
      <alignment horizontal="left" vertical="top" wrapText="1"/>
      <protection locked="0"/>
    </xf>
    <xf numFmtId="0" fontId="22" fillId="2" borderId="15" xfId="0" applyFont="1" applyFill="1" applyBorder="1" applyAlignment="1">
      <alignment horizontal="center" vertical="center" wrapText="1"/>
    </xf>
    <xf numFmtId="0" fontId="22" fillId="2" borderId="15" xfId="0" applyFont="1" applyFill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50" fillId="0" borderId="0" xfId="0" applyFont="1" applyAlignment="1">
      <alignment horizontal="center" vertical="center"/>
    </xf>
    <xf numFmtId="0" fontId="22" fillId="2" borderId="14" xfId="0" applyFont="1" applyFill="1" applyBorder="1" applyAlignment="1">
      <alignment horizontal="center" vertical="center" wrapText="1"/>
    </xf>
    <xf numFmtId="0" fontId="22" fillId="2" borderId="16" xfId="0" applyFont="1" applyFill="1" applyBorder="1" applyAlignment="1">
      <alignment horizontal="center" vertical="center" wrapText="1"/>
    </xf>
    <xf numFmtId="0" fontId="22" fillId="2" borderId="17" xfId="0" applyFont="1" applyFill="1" applyBorder="1" applyAlignment="1">
      <alignment horizontal="center" vertical="center" wrapText="1"/>
    </xf>
    <xf numFmtId="170" fontId="21" fillId="0" borderId="0" xfId="0" applyNumberFormat="1" applyFont="1" applyAlignment="1">
      <alignment horizontal="left" vertical="center"/>
    </xf>
    <xf numFmtId="0" fontId="21" fillId="2" borderId="24" xfId="0" applyFont="1" applyFill="1" applyBorder="1" applyAlignment="1">
      <alignment horizontal="left" vertical="center" wrapText="1"/>
    </xf>
    <xf numFmtId="0" fontId="21" fillId="2" borderId="4" xfId="0" applyFont="1" applyFill="1" applyBorder="1" applyAlignment="1">
      <alignment horizontal="left" vertical="center" wrapText="1"/>
    </xf>
    <xf numFmtId="0" fontId="21" fillId="2" borderId="26" xfId="0" applyFont="1" applyFill="1" applyBorder="1" applyAlignment="1">
      <alignment horizontal="left" vertical="center" wrapText="1"/>
    </xf>
    <xf numFmtId="0" fontId="21" fillId="2" borderId="6" xfId="0" applyFont="1" applyFill="1" applyBorder="1" applyAlignment="1">
      <alignment horizontal="left" vertical="center" wrapText="1"/>
    </xf>
    <xf numFmtId="170" fontId="7" fillId="0" borderId="0" xfId="4" applyNumberFormat="1" applyFont="1" applyAlignment="1">
      <alignment horizontal="left" vertical="top" wrapText="1"/>
    </xf>
    <xf numFmtId="0" fontId="7" fillId="0" borderId="0" xfId="4" applyFont="1" applyAlignment="1">
      <alignment horizontal="left" vertical="center" wrapText="1"/>
    </xf>
    <xf numFmtId="0" fontId="6" fillId="0" borderId="0" xfId="4" applyFont="1" applyAlignment="1">
      <alignment horizontal="left" vertical="center" wrapText="1"/>
    </xf>
    <xf numFmtId="0" fontId="7" fillId="0" borderId="0" xfId="4" applyFont="1" applyAlignment="1">
      <alignment horizontal="left" vertical="top" wrapText="1"/>
    </xf>
    <xf numFmtId="0" fontId="7" fillId="8" borderId="0" xfId="4" applyFont="1" applyFill="1" applyAlignment="1">
      <alignment horizontal="justify" vertical="center" wrapText="1"/>
    </xf>
    <xf numFmtId="170" fontId="7" fillId="0" borderId="0" xfId="4" applyNumberFormat="1" applyFont="1" applyAlignment="1">
      <alignment horizontal="left" vertical="center" wrapText="1"/>
    </xf>
    <xf numFmtId="0" fontId="71" fillId="0" borderId="0" xfId="4" applyFont="1" applyAlignment="1" applyProtection="1">
      <alignment horizontal="left" vertical="center" wrapText="1"/>
      <protection locked="0"/>
    </xf>
    <xf numFmtId="0" fontId="7" fillId="0" borderId="0" xfId="4" applyFont="1" applyAlignment="1" applyProtection="1">
      <alignment horizontal="left" vertical="top" wrapText="1"/>
      <protection locked="0"/>
    </xf>
    <xf numFmtId="0" fontId="7" fillId="0" borderId="0" xfId="4" applyFont="1" applyAlignment="1" applyProtection="1">
      <alignment horizontal="justify" vertical="top" wrapText="1"/>
      <protection locked="0"/>
    </xf>
    <xf numFmtId="190" fontId="69" fillId="0" borderId="0" xfId="4" quotePrefix="1" applyNumberFormat="1" applyFont="1" applyAlignment="1" applyProtection="1">
      <alignment horizontal="left" vertical="center"/>
      <protection locked="0"/>
    </xf>
    <xf numFmtId="190" fontId="69" fillId="0" borderId="0" xfId="4" applyNumberFormat="1" applyFont="1" applyAlignment="1" applyProtection="1">
      <alignment horizontal="left" vertical="center"/>
      <protection locked="0"/>
    </xf>
    <xf numFmtId="0" fontId="62" fillId="0" borderId="0" xfId="4" applyFont="1" applyAlignment="1">
      <alignment horizontal="center"/>
    </xf>
    <xf numFmtId="11" fontId="69" fillId="0" borderId="0" xfId="4" quotePrefix="1" applyNumberFormat="1" applyFont="1" applyAlignment="1" applyProtection="1">
      <alignment horizontal="left"/>
      <protection locked="0"/>
    </xf>
    <xf numFmtId="0" fontId="69" fillId="0" borderId="0" xfId="4" applyFont="1" applyAlignment="1" applyProtection="1">
      <alignment horizontal="left"/>
      <protection locked="0"/>
    </xf>
    <xf numFmtId="0" fontId="69" fillId="0" borderId="0" xfId="4" quotePrefix="1" applyFont="1" applyAlignment="1" applyProtection="1">
      <alignment horizontal="left"/>
      <protection locked="0"/>
    </xf>
    <xf numFmtId="0" fontId="7" fillId="0" borderId="14" xfId="4" applyFont="1" applyBorder="1" applyAlignment="1">
      <alignment horizontal="left" vertical="top" wrapText="1"/>
    </xf>
    <xf numFmtId="0" fontId="7" fillId="0" borderId="16" xfId="4" applyFont="1" applyBorder="1" applyAlignment="1">
      <alignment horizontal="left" vertical="top" wrapText="1"/>
    </xf>
    <xf numFmtId="0" fontId="71" fillId="0" borderId="0" xfId="4" quotePrefix="1" applyFont="1" applyAlignment="1" applyProtection="1">
      <alignment horizontal="left" vertical="center" wrapText="1"/>
      <protection locked="0"/>
    </xf>
    <xf numFmtId="0" fontId="67" fillId="0" borderId="0" xfId="4" applyFont="1" applyAlignment="1" applyProtection="1">
      <alignment horizontal="center" vertical="center"/>
      <protection locked="0"/>
    </xf>
    <xf numFmtId="170" fontId="69" fillId="0" borderId="0" xfId="4" quotePrefix="1" applyNumberFormat="1" applyFont="1" applyAlignment="1" applyProtection="1">
      <alignment horizontal="center" vertical="center"/>
      <protection locked="0"/>
    </xf>
    <xf numFmtId="170" fontId="69" fillId="0" borderId="0" xfId="4" applyNumberFormat="1" applyFont="1" applyAlignment="1" applyProtection="1">
      <alignment horizontal="center" vertical="center"/>
      <protection locked="0"/>
    </xf>
    <xf numFmtId="0" fontId="7" fillId="0" borderId="0" xfId="4" applyFont="1" applyAlignment="1">
      <alignment horizontal="center"/>
    </xf>
    <xf numFmtId="0" fontId="70" fillId="0" borderId="0" xfId="4" applyFont="1" applyAlignment="1">
      <alignment horizontal="right" vertical="center"/>
    </xf>
    <xf numFmtId="0" fontId="64" fillId="0" borderId="0" xfId="4" applyFont="1" applyAlignment="1">
      <alignment horizontal="center"/>
    </xf>
    <xf numFmtId="2" fontId="4" fillId="2" borderId="57" xfId="0" applyNumberFormat="1" applyFont="1" applyFill="1" applyBorder="1" applyAlignment="1">
      <alignment horizontal="center" vertical="center"/>
    </xf>
    <xf numFmtId="2" fontId="4" fillId="2" borderId="39" xfId="0" applyNumberFormat="1" applyFont="1" applyFill="1" applyBorder="1" applyAlignment="1">
      <alignment horizontal="center" vertical="center"/>
    </xf>
    <xf numFmtId="2" fontId="4" fillId="2" borderId="53" xfId="0" applyNumberFormat="1" applyFont="1" applyFill="1" applyBorder="1" applyAlignment="1">
      <alignment horizontal="center" vertical="center"/>
    </xf>
    <xf numFmtId="2" fontId="4" fillId="9" borderId="15" xfId="0" applyNumberFormat="1" applyFont="1" applyFill="1" applyBorder="1" applyAlignment="1">
      <alignment horizontal="center" vertical="center"/>
    </xf>
    <xf numFmtId="2" fontId="4" fillId="2" borderId="57" xfId="2" applyNumberFormat="1" applyFont="1" applyFill="1" applyBorder="1" applyAlignment="1">
      <alignment horizontal="center" vertical="center"/>
    </xf>
    <xf numFmtId="2" fontId="4" fillId="2" borderId="58" xfId="2" applyNumberFormat="1" applyFont="1" applyFill="1" applyBorder="1" applyAlignment="1">
      <alignment horizontal="center" vertical="center"/>
    </xf>
    <xf numFmtId="2" fontId="4" fillId="2" borderId="59" xfId="2" applyNumberFormat="1" applyFont="1" applyFill="1" applyBorder="1" applyAlignment="1">
      <alignment horizontal="center" vertical="center"/>
    </xf>
    <xf numFmtId="1" fontId="4" fillId="6" borderId="15" xfId="0" applyNumberFormat="1" applyFont="1" applyFill="1" applyBorder="1" applyAlignment="1">
      <alignment horizontal="center" vertical="center"/>
    </xf>
    <xf numFmtId="2" fontId="4" fillId="6" borderId="58" xfId="0" applyNumberFormat="1" applyFont="1" applyFill="1" applyBorder="1" applyAlignment="1">
      <alignment horizontal="center" vertical="center"/>
    </xf>
    <xf numFmtId="2" fontId="4" fillId="6" borderId="15" xfId="0" applyNumberFormat="1" applyFont="1" applyFill="1" applyBorder="1" applyAlignment="1">
      <alignment horizontal="center" vertical="center"/>
    </xf>
    <xf numFmtId="2" fontId="4" fillId="6" borderId="50" xfId="0" applyNumberFormat="1" applyFont="1" applyFill="1" applyBorder="1" applyAlignment="1">
      <alignment horizontal="center" vertical="center"/>
    </xf>
    <xf numFmtId="2" fontId="4" fillId="6" borderId="45" xfId="0" applyNumberFormat="1" applyFont="1" applyFill="1" applyBorder="1" applyAlignment="1">
      <alignment horizontal="center" vertical="center"/>
    </xf>
    <xf numFmtId="2" fontId="4" fillId="6" borderId="22" xfId="0" applyNumberFormat="1" applyFont="1" applyFill="1" applyBorder="1" applyAlignment="1">
      <alignment horizontal="center" vertical="center"/>
    </xf>
    <xf numFmtId="2" fontId="4" fillId="6" borderId="60" xfId="0" applyNumberFormat="1" applyFont="1" applyFill="1" applyBorder="1" applyAlignment="1">
      <alignment horizontal="center" vertical="center"/>
    </xf>
    <xf numFmtId="2" fontId="18" fillId="2" borderId="15" xfId="2" applyNumberFormat="1" applyFont="1" applyFill="1" applyBorder="1" applyAlignment="1">
      <alignment horizontal="center" vertical="center" wrapText="1"/>
    </xf>
    <xf numFmtId="2" fontId="18" fillId="2" borderId="58" xfId="2" applyNumberFormat="1" applyFont="1" applyFill="1" applyBorder="1" applyAlignment="1">
      <alignment horizontal="left" vertical="center" wrapText="1"/>
    </xf>
    <xf numFmtId="2" fontId="18" fillId="2" borderId="59" xfId="2" applyNumberFormat="1" applyFont="1" applyFill="1" applyBorder="1" applyAlignment="1">
      <alignment horizontal="left" vertical="center" wrapText="1"/>
    </xf>
    <xf numFmtId="2" fontId="65" fillId="2" borderId="15" xfId="0" applyNumberFormat="1" applyFont="1" applyFill="1" applyBorder="1" applyAlignment="1">
      <alignment horizontal="center" vertical="center"/>
    </xf>
    <xf numFmtId="2" fontId="18" fillId="2" borderId="15" xfId="0" applyNumberFormat="1" applyFont="1" applyFill="1" applyBorder="1" applyAlignment="1">
      <alignment horizontal="center" vertical="center" wrapText="1"/>
    </xf>
    <xf numFmtId="2" fontId="4" fillId="2" borderId="40" xfId="2" applyNumberFormat="1" applyFont="1" applyFill="1" applyBorder="1" applyAlignment="1">
      <alignment horizontal="center" vertical="center" wrapText="1"/>
    </xf>
    <xf numFmtId="2" fontId="18" fillId="2" borderId="39" xfId="0" applyNumberFormat="1" applyFont="1" applyFill="1" applyBorder="1" applyAlignment="1">
      <alignment horizontal="center" vertical="center" wrapText="1"/>
    </xf>
    <xf numFmtId="2" fontId="18" fillId="8" borderId="57" xfId="0" applyNumberFormat="1" applyFont="1" applyFill="1" applyBorder="1" applyAlignment="1">
      <alignment horizontal="center" vertical="center"/>
    </xf>
    <xf numFmtId="2" fontId="18" fillId="8" borderId="59" xfId="0" applyNumberFormat="1" applyFont="1" applyFill="1" applyBorder="1" applyAlignment="1">
      <alignment horizontal="center" vertical="center"/>
    </xf>
    <xf numFmtId="2" fontId="4" fillId="8" borderId="39" xfId="0" applyNumberFormat="1" applyFont="1" applyFill="1" applyBorder="1" applyAlignment="1">
      <alignment horizontal="center" vertical="center"/>
    </xf>
    <xf numFmtId="2" fontId="4" fillId="8" borderId="40" xfId="0" applyNumberFormat="1" applyFont="1" applyFill="1" applyBorder="1" applyAlignment="1">
      <alignment horizontal="center" vertical="center"/>
    </xf>
    <xf numFmtId="2" fontId="65" fillId="6" borderId="15" xfId="0" applyNumberFormat="1" applyFont="1" applyFill="1" applyBorder="1" applyAlignment="1">
      <alignment horizontal="center" vertical="center"/>
    </xf>
    <xf numFmtId="2" fontId="65" fillId="6" borderId="19" xfId="0" applyNumberFormat="1" applyFont="1" applyFill="1" applyBorder="1" applyAlignment="1">
      <alignment horizontal="center" vertical="center"/>
    </xf>
    <xf numFmtId="2" fontId="65" fillId="6" borderId="23" xfId="0" applyNumberFormat="1" applyFont="1" applyFill="1" applyBorder="1" applyAlignment="1">
      <alignment horizontal="center" vertical="center"/>
    </xf>
    <xf numFmtId="2" fontId="65" fillId="6" borderId="20" xfId="0" applyNumberFormat="1" applyFont="1" applyFill="1" applyBorder="1" applyAlignment="1">
      <alignment horizontal="center" vertical="center"/>
    </xf>
    <xf numFmtId="2" fontId="65" fillId="6" borderId="40" xfId="0" applyNumberFormat="1" applyFont="1" applyFill="1" applyBorder="1" applyAlignment="1">
      <alignment horizontal="center" vertical="center"/>
    </xf>
    <xf numFmtId="2" fontId="4" fillId="6" borderId="18" xfId="0" applyNumberFormat="1" applyFont="1" applyFill="1" applyBorder="1" applyAlignment="1">
      <alignment horizontal="center" vertical="center"/>
    </xf>
    <xf numFmtId="2" fontId="3" fillId="6" borderId="57" xfId="0" applyNumberFormat="1" applyFont="1" applyFill="1" applyBorder="1" applyAlignment="1">
      <alignment horizontal="center" vertical="center"/>
    </xf>
    <xf numFmtId="2" fontId="3" fillId="6" borderId="59" xfId="0" applyNumberFormat="1" applyFont="1" applyFill="1" applyBorder="1" applyAlignment="1">
      <alignment horizontal="center" vertical="center"/>
    </xf>
    <xf numFmtId="2" fontId="32" fillId="6" borderId="15" xfId="0" applyNumberFormat="1" applyFont="1" applyFill="1" applyBorder="1" applyAlignment="1">
      <alignment horizontal="center" vertical="center"/>
    </xf>
    <xf numFmtId="2" fontId="57" fillId="6" borderId="15" xfId="2" applyNumberFormat="1" applyFont="1" applyFill="1" applyBorder="1" applyAlignment="1">
      <alignment horizontal="center" vertical="center"/>
    </xf>
    <xf numFmtId="2" fontId="56" fillId="6" borderId="15" xfId="2" applyNumberFormat="1" applyFont="1" applyFill="1" applyBorder="1" applyAlignment="1">
      <alignment horizontal="center" vertical="center"/>
    </xf>
    <xf numFmtId="2" fontId="18" fillId="6" borderId="15" xfId="2" applyNumberFormat="1" applyFont="1" applyFill="1" applyBorder="1" applyAlignment="1">
      <alignment horizontal="center" vertical="center"/>
    </xf>
    <xf numFmtId="2" fontId="32" fillId="6" borderId="14" xfId="0" applyNumberFormat="1" applyFont="1" applyFill="1" applyBorder="1" applyAlignment="1">
      <alignment horizontal="center" vertical="center"/>
    </xf>
    <xf numFmtId="2" fontId="32" fillId="6" borderId="16" xfId="0" applyNumberFormat="1" applyFont="1" applyFill="1" applyBorder="1" applyAlignment="1">
      <alignment horizontal="center" vertical="center"/>
    </xf>
    <xf numFmtId="2" fontId="32" fillId="6" borderId="17" xfId="0" applyNumberFormat="1" applyFont="1" applyFill="1" applyBorder="1" applyAlignment="1">
      <alignment horizontal="center" vertical="center"/>
    </xf>
    <xf numFmtId="2" fontId="4" fillId="6" borderId="15" xfId="0" applyNumberFormat="1" applyFont="1" applyFill="1" applyBorder="1" applyAlignment="1">
      <alignment horizontal="center" vertical="center" wrapText="1"/>
    </xf>
    <xf numFmtId="2" fontId="4" fillId="6" borderId="58" xfId="0" applyNumberFormat="1" applyFont="1" applyFill="1" applyBorder="1" applyAlignment="1">
      <alignment horizontal="center" vertical="center" wrapText="1"/>
    </xf>
    <xf numFmtId="2" fontId="18" fillId="6" borderId="58" xfId="2" applyNumberFormat="1" applyFont="1" applyFill="1" applyBorder="1" applyAlignment="1">
      <alignment horizontal="center" vertical="center"/>
    </xf>
    <xf numFmtId="2" fontId="18" fillId="6" borderId="59" xfId="2" applyNumberFormat="1" applyFont="1" applyFill="1" applyBorder="1" applyAlignment="1">
      <alignment horizontal="center" vertical="center"/>
    </xf>
    <xf numFmtId="2" fontId="4" fillId="3" borderId="0" xfId="0" applyNumberFormat="1" applyFont="1" applyFill="1" applyAlignment="1">
      <alignment horizontal="center"/>
    </xf>
    <xf numFmtId="1" fontId="2" fillId="0" borderId="15" xfId="0" applyNumberFormat="1" applyFont="1" applyBorder="1" applyAlignment="1">
      <alignment horizontal="center" vertical="center"/>
    </xf>
    <xf numFmtId="1" fontId="18" fillId="6" borderId="15" xfId="2" applyNumberFormat="1" applyFont="1" applyFill="1" applyBorder="1" applyAlignment="1">
      <alignment horizontal="center" vertical="center"/>
    </xf>
    <xf numFmtId="2" fontId="59" fillId="3" borderId="35" xfId="0" applyNumberFormat="1" applyFont="1" applyFill="1" applyBorder="1" applyAlignment="1">
      <alignment horizontal="center" vertical="center"/>
    </xf>
    <xf numFmtId="2" fontId="59" fillId="3" borderId="0" xfId="0" applyNumberFormat="1" applyFont="1" applyFill="1" applyAlignment="1">
      <alignment horizontal="center" vertical="center"/>
    </xf>
    <xf numFmtId="1" fontId="2" fillId="0" borderId="63" xfId="0" applyNumberFormat="1" applyFont="1" applyBorder="1" applyAlignment="1">
      <alignment horizontal="center" vertical="center"/>
    </xf>
    <xf numFmtId="1" fontId="2" fillId="0" borderId="35" xfId="0" applyNumberFormat="1" applyFont="1" applyBorder="1" applyAlignment="1">
      <alignment horizontal="center" vertical="center"/>
    </xf>
    <xf numFmtId="1" fontId="2" fillId="0" borderId="32" xfId="0" applyNumberFormat="1" applyFont="1" applyBorder="1" applyAlignment="1">
      <alignment horizontal="center" vertical="center"/>
    </xf>
    <xf numFmtId="2" fontId="32" fillId="0" borderId="15" xfId="0" applyNumberFormat="1" applyFont="1" applyBorder="1" applyAlignment="1">
      <alignment horizontal="center" vertical="center"/>
    </xf>
    <xf numFmtId="2" fontId="5" fillId="2" borderId="2" xfId="0" applyNumberFormat="1" applyFont="1" applyFill="1" applyBorder="1" applyAlignment="1">
      <alignment horizontal="center" vertical="center"/>
    </xf>
    <xf numFmtId="2" fontId="5" fillId="2" borderId="16" xfId="0" applyNumberFormat="1" applyFont="1" applyFill="1" applyBorder="1" applyAlignment="1">
      <alignment horizontal="center" vertical="center"/>
    </xf>
    <xf numFmtId="2" fontId="58" fillId="2" borderId="14" xfId="0" applyNumberFormat="1" applyFont="1" applyFill="1" applyBorder="1" applyAlignment="1">
      <alignment horizontal="center" vertical="center" wrapText="1"/>
    </xf>
    <xf numFmtId="2" fontId="58" fillId="2" borderId="16" xfId="0" applyNumberFormat="1" applyFont="1" applyFill="1" applyBorder="1" applyAlignment="1">
      <alignment horizontal="center" vertical="center" wrapText="1"/>
    </xf>
    <xf numFmtId="2" fontId="58" fillId="2" borderId="17" xfId="0" applyNumberFormat="1" applyFont="1" applyFill="1" applyBorder="1" applyAlignment="1">
      <alignment horizontal="center" vertical="center" wrapText="1"/>
    </xf>
    <xf numFmtId="2" fontId="32" fillId="0" borderId="15" xfId="0" applyNumberFormat="1" applyFont="1" applyBorder="1" applyAlignment="1">
      <alignment horizontal="center" vertical="center" wrapText="1"/>
    </xf>
    <xf numFmtId="2" fontId="35" fillId="0" borderId="54" xfId="0" applyNumberFormat="1" applyFont="1" applyBorder="1" applyAlignment="1">
      <alignment horizontal="center"/>
    </xf>
    <xf numFmtId="2" fontId="35" fillId="0" borderId="55" xfId="0" applyNumberFormat="1" applyFont="1" applyBorder="1" applyAlignment="1">
      <alignment horizontal="center"/>
    </xf>
    <xf numFmtId="2" fontId="35" fillId="0" borderId="56" xfId="0" applyNumberFormat="1" applyFont="1" applyBorder="1" applyAlignment="1">
      <alignment horizontal="center"/>
    </xf>
    <xf numFmtId="1" fontId="2" fillId="10" borderId="30" xfId="0" applyNumberFormat="1" applyFont="1" applyFill="1" applyBorder="1" applyAlignment="1">
      <alignment horizontal="center"/>
    </xf>
    <xf numFmtId="1" fontId="2" fillId="10" borderId="23" xfId="0" applyNumberFormat="1" applyFont="1" applyFill="1" applyBorder="1" applyAlignment="1">
      <alignment horizontal="center"/>
    </xf>
    <xf numFmtId="2" fontId="59" fillId="2" borderId="54" xfId="2" applyNumberFormat="1" applyFont="1" applyFill="1" applyBorder="1" applyAlignment="1">
      <alignment horizontal="center" vertical="center"/>
    </xf>
    <xf numFmtId="2" fontId="59" fillId="2" borderId="55" xfId="2" applyNumberFormat="1" applyFont="1" applyFill="1" applyBorder="1" applyAlignment="1">
      <alignment horizontal="center" vertical="center"/>
    </xf>
    <xf numFmtId="2" fontId="59" fillId="2" borderId="56" xfId="2" applyNumberFormat="1" applyFont="1" applyFill="1" applyBorder="1" applyAlignment="1">
      <alignment horizontal="center" vertical="center"/>
    </xf>
    <xf numFmtId="2" fontId="2" fillId="10" borderId="15" xfId="0" applyNumberFormat="1" applyFont="1" applyFill="1" applyBorder="1" applyAlignment="1">
      <alignment horizontal="center" vertical="center"/>
    </xf>
    <xf numFmtId="2" fontId="6" fillId="10" borderId="15" xfId="2" applyNumberFormat="1" applyFont="1" applyFill="1" applyBorder="1" applyAlignment="1">
      <alignment horizontal="center"/>
    </xf>
    <xf numFmtId="2" fontId="1" fillId="10" borderId="15" xfId="0" applyNumberFormat="1" applyFont="1" applyFill="1" applyBorder="1" applyAlignment="1">
      <alignment horizontal="center" vertical="center" wrapText="1"/>
    </xf>
    <xf numFmtId="2" fontId="2" fillId="10" borderId="15" xfId="0" applyNumberFormat="1" applyFont="1" applyFill="1" applyBorder="1" applyAlignment="1">
      <alignment horizontal="center" vertical="center" wrapText="1"/>
    </xf>
    <xf numFmtId="2" fontId="32" fillId="2" borderId="15" xfId="0" applyNumberFormat="1" applyFont="1" applyFill="1" applyBorder="1" applyAlignment="1">
      <alignment horizontal="center" vertical="center" wrapText="1"/>
    </xf>
    <xf numFmtId="2" fontId="26" fillId="3" borderId="35" xfId="0" applyNumberFormat="1" applyFont="1" applyFill="1" applyBorder="1" applyAlignment="1">
      <alignment horizontal="center" vertical="center" wrapText="1"/>
    </xf>
    <xf numFmtId="2" fontId="26" fillId="3" borderId="0" xfId="0" applyNumberFormat="1" applyFont="1" applyFill="1" applyAlignment="1">
      <alignment horizontal="center" vertical="center" wrapText="1"/>
    </xf>
    <xf numFmtId="2" fontId="6" fillId="10" borderId="14" xfId="2" applyNumberFormat="1" applyFont="1" applyFill="1" applyBorder="1" applyAlignment="1">
      <alignment horizontal="center"/>
    </xf>
    <xf numFmtId="2" fontId="6" fillId="10" borderId="16" xfId="2" applyNumberFormat="1" applyFont="1" applyFill="1" applyBorder="1" applyAlignment="1">
      <alignment horizontal="center"/>
    </xf>
    <xf numFmtId="2" fontId="6" fillId="10" borderId="17" xfId="2" applyNumberFormat="1" applyFont="1" applyFill="1" applyBorder="1" applyAlignment="1">
      <alignment horizontal="center"/>
    </xf>
    <xf numFmtId="2" fontId="2" fillId="2" borderId="15" xfId="0" applyNumberFormat="1" applyFont="1" applyFill="1" applyBorder="1" applyAlignment="1">
      <alignment horizontal="center" vertical="center"/>
    </xf>
    <xf numFmtId="2" fontId="2" fillId="2" borderId="15" xfId="0" applyNumberFormat="1" applyFont="1" applyFill="1" applyBorder="1" applyAlignment="1">
      <alignment horizontal="center" vertical="center" wrapText="1"/>
    </xf>
    <xf numFmtId="2" fontId="55" fillId="2" borderId="15" xfId="0" applyNumberFormat="1" applyFont="1" applyFill="1" applyBorder="1" applyAlignment="1">
      <alignment horizontal="center" vertical="center" wrapText="1"/>
    </xf>
    <xf numFmtId="2" fontId="1" fillId="0" borderId="15" xfId="0" applyNumberFormat="1" applyFont="1" applyBorder="1" applyAlignment="1">
      <alignment horizontal="center" vertical="center"/>
    </xf>
    <xf numFmtId="2" fontId="2" fillId="0" borderId="15" xfId="0" applyNumberFormat="1" applyFont="1" applyBorder="1" applyAlignment="1">
      <alignment horizontal="center" vertical="center"/>
    </xf>
    <xf numFmtId="2" fontId="55" fillId="0" borderId="15" xfId="0" applyNumberFormat="1" applyFont="1" applyBorder="1" applyAlignment="1">
      <alignment horizontal="center" vertical="center" wrapText="1"/>
    </xf>
    <xf numFmtId="2" fontId="2" fillId="8" borderId="15" xfId="0" applyNumberFormat="1" applyFont="1" applyFill="1" applyBorder="1" applyAlignment="1">
      <alignment horizontal="center" vertical="center"/>
    </xf>
    <xf numFmtId="2" fontId="1" fillId="8" borderId="15" xfId="0" applyNumberFormat="1" applyFont="1" applyFill="1" applyBorder="1" applyAlignment="1">
      <alignment horizontal="center" vertical="center"/>
    </xf>
    <xf numFmtId="2" fontId="56" fillId="0" borderId="15" xfId="2" applyNumberFormat="1" applyFont="1" applyBorder="1" applyAlignment="1">
      <alignment horizontal="center"/>
    </xf>
    <xf numFmtId="2" fontId="54" fillId="3" borderId="42" xfId="0" applyNumberFormat="1" applyFont="1" applyFill="1" applyBorder="1" applyAlignment="1">
      <alignment horizontal="center" vertical="center"/>
    </xf>
    <xf numFmtId="2" fontId="54" fillId="3" borderId="2" xfId="0" applyNumberFormat="1" applyFont="1" applyFill="1" applyBorder="1" applyAlignment="1">
      <alignment horizontal="center" vertical="center"/>
    </xf>
    <xf numFmtId="2" fontId="6" fillId="10" borderId="15" xfId="2" applyNumberFormat="1" applyFont="1" applyFill="1" applyBorder="1" applyAlignment="1">
      <alignment horizontal="center" vertical="center"/>
    </xf>
    <xf numFmtId="2" fontId="56" fillId="0" borderId="15" xfId="2" applyNumberFormat="1" applyFont="1" applyBorder="1" applyAlignment="1">
      <alignment horizontal="center" vertical="center"/>
    </xf>
    <xf numFmtId="2" fontId="2" fillId="2" borderId="46" xfId="0" applyNumberFormat="1" applyFont="1" applyFill="1" applyBorder="1" applyAlignment="1">
      <alignment horizontal="center" vertical="center" wrapText="1"/>
    </xf>
    <xf numFmtId="2" fontId="2" fillId="2" borderId="41" xfId="0" applyNumberFormat="1" applyFont="1" applyFill="1" applyBorder="1" applyAlignment="1">
      <alignment horizontal="center" vertical="center" wrapText="1"/>
    </xf>
    <xf numFmtId="2" fontId="3" fillId="2" borderId="57" xfId="0" applyNumberFormat="1" applyFont="1" applyFill="1" applyBorder="1" applyAlignment="1">
      <alignment horizontal="center" vertical="center" wrapText="1"/>
    </xf>
    <xf numFmtId="2" fontId="3" fillId="2" borderId="39" xfId="0" applyNumberFormat="1" applyFont="1" applyFill="1" applyBorder="1" applyAlignment="1">
      <alignment horizontal="center" vertical="center" wrapText="1"/>
    </xf>
    <xf numFmtId="2" fontId="3" fillId="2" borderId="71" xfId="0" applyNumberFormat="1" applyFont="1" applyFill="1" applyBorder="1" applyAlignment="1">
      <alignment horizontal="center" vertical="center" wrapText="1"/>
    </xf>
    <xf numFmtId="2" fontId="3" fillId="2" borderId="45" xfId="0" applyNumberFormat="1" applyFont="1" applyFill="1" applyBorder="1" applyAlignment="1">
      <alignment horizontal="center" vertical="center" wrapText="1"/>
    </xf>
    <xf numFmtId="2" fontId="3" fillId="2" borderId="22" xfId="0" applyNumberFormat="1" applyFont="1" applyFill="1" applyBorder="1" applyAlignment="1">
      <alignment horizontal="center" vertical="center" wrapText="1"/>
    </xf>
    <xf numFmtId="0" fontId="86" fillId="0" borderId="66" xfId="0" applyFont="1" applyBorder="1" applyAlignment="1">
      <alignment horizontal="center"/>
    </xf>
    <xf numFmtId="0" fontId="86" fillId="0" borderId="43" xfId="0" applyFont="1" applyBorder="1" applyAlignment="1">
      <alignment horizontal="center"/>
    </xf>
    <xf numFmtId="0" fontId="86" fillId="0" borderId="72" xfId="0" applyFont="1" applyBorder="1" applyAlignment="1">
      <alignment horizontal="center"/>
    </xf>
    <xf numFmtId="0" fontId="86" fillId="0" borderId="78" xfId="0" applyFont="1" applyBorder="1" applyAlignment="1">
      <alignment horizontal="center" vertical="center"/>
    </xf>
    <xf numFmtId="0" fontId="86" fillId="0" borderId="79" xfId="0" applyFont="1" applyBorder="1" applyAlignment="1">
      <alignment horizontal="center" vertical="center"/>
    </xf>
    <xf numFmtId="0" fontId="86" fillId="0" borderId="80" xfId="0" applyFont="1" applyBorder="1" applyAlignment="1">
      <alignment horizontal="center" vertical="center"/>
    </xf>
    <xf numFmtId="164" fontId="83" fillId="14" borderId="18" xfId="0" applyNumberFormat="1" applyFont="1" applyFill="1" applyBorder="1" applyAlignment="1">
      <alignment horizontal="center" vertical="center"/>
    </xf>
    <xf numFmtId="164" fontId="83" fillId="14" borderId="22" xfId="0" applyNumberFormat="1" applyFont="1" applyFill="1" applyBorder="1" applyAlignment="1">
      <alignment horizontal="center" vertical="center"/>
    </xf>
    <xf numFmtId="164" fontId="83" fillId="14" borderId="12" xfId="0" applyNumberFormat="1" applyFont="1" applyFill="1" applyBorder="1" applyAlignment="1">
      <alignment horizontal="center" vertical="center"/>
    </xf>
    <xf numFmtId="0" fontId="66" fillId="14" borderId="15" xfId="0" applyFont="1" applyFill="1" applyBorder="1" applyAlignment="1">
      <alignment horizontal="center" vertical="center" wrapText="1"/>
    </xf>
    <xf numFmtId="187" fontId="83" fillId="14" borderId="18" xfId="0" applyNumberFormat="1" applyFont="1" applyFill="1" applyBorder="1" applyAlignment="1">
      <alignment horizontal="center" vertical="center"/>
    </xf>
    <xf numFmtId="187" fontId="83" fillId="14" borderId="22" xfId="0" applyNumberFormat="1" applyFont="1" applyFill="1" applyBorder="1" applyAlignment="1">
      <alignment horizontal="center" vertical="center"/>
    </xf>
    <xf numFmtId="187" fontId="83" fillId="14" borderId="12" xfId="0" applyNumberFormat="1" applyFont="1" applyFill="1" applyBorder="1" applyAlignment="1">
      <alignment horizontal="center" vertical="center"/>
    </xf>
    <xf numFmtId="0" fontId="19" fillId="14" borderId="67" xfId="0" applyFont="1" applyFill="1" applyBorder="1" applyAlignment="1">
      <alignment horizontal="center" vertical="center"/>
    </xf>
    <xf numFmtId="0" fontId="19" fillId="14" borderId="45" xfId="0" applyFont="1" applyFill="1" applyBorder="1" applyAlignment="1">
      <alignment horizontal="center" vertical="center"/>
    </xf>
    <xf numFmtId="0" fontId="19" fillId="14" borderId="58" xfId="0" applyFont="1" applyFill="1" applyBorder="1" applyAlignment="1">
      <alignment horizontal="center" vertical="center"/>
    </xf>
    <xf numFmtId="0" fontId="19" fillId="14" borderId="59" xfId="0" applyFont="1" applyFill="1" applyBorder="1" applyAlignment="1">
      <alignment horizontal="center" vertical="center"/>
    </xf>
    <xf numFmtId="0" fontId="85" fillId="14" borderId="54" xfId="0" applyFont="1" applyFill="1" applyBorder="1" applyAlignment="1">
      <alignment horizontal="center" vertical="center"/>
    </xf>
    <xf numFmtId="0" fontId="85" fillId="14" borderId="55" xfId="0" applyFont="1" applyFill="1" applyBorder="1" applyAlignment="1">
      <alignment horizontal="center" vertical="center"/>
    </xf>
    <xf numFmtId="0" fontId="85" fillId="14" borderId="56" xfId="0" applyFont="1" applyFill="1" applyBorder="1" applyAlignment="1">
      <alignment horizontal="center" vertical="center"/>
    </xf>
    <xf numFmtId="0" fontId="19" fillId="14" borderId="62" xfId="0" applyFont="1" applyFill="1" applyBorder="1" applyAlignment="1">
      <alignment horizontal="center" vertical="center"/>
    </xf>
    <xf numFmtId="0" fontId="19" fillId="14" borderId="60" xfId="0" applyFont="1" applyFill="1" applyBorder="1" applyAlignment="1">
      <alignment horizontal="center" vertical="center"/>
    </xf>
    <xf numFmtId="0" fontId="19" fillId="14" borderId="50" xfId="0" applyFont="1" applyFill="1" applyBorder="1" applyAlignment="1">
      <alignment horizontal="center" vertical="center"/>
    </xf>
    <xf numFmtId="0" fontId="19" fillId="14" borderId="52" xfId="0" applyFont="1" applyFill="1" applyBorder="1" applyAlignment="1">
      <alignment horizontal="center" vertical="center"/>
    </xf>
    <xf numFmtId="0" fontId="86" fillId="0" borderId="37" xfId="0" applyFont="1" applyBorder="1" applyAlignment="1">
      <alignment horizontal="center" vertical="center"/>
    </xf>
    <xf numFmtId="0" fontId="86" fillId="0" borderId="16" xfId="0" applyFont="1" applyBorder="1" applyAlignment="1">
      <alignment horizontal="center" vertical="center"/>
    </xf>
    <xf numFmtId="0" fontId="86" fillId="0" borderId="38" xfId="0" applyFont="1" applyBorder="1" applyAlignment="1">
      <alignment horizontal="center" vertical="center"/>
    </xf>
    <xf numFmtId="0" fontId="17" fillId="14" borderId="15" xfId="0" applyFont="1" applyFill="1" applyBorder="1" applyAlignment="1">
      <alignment horizontal="center" vertical="center"/>
    </xf>
    <xf numFmtId="0" fontId="8" fillId="14" borderId="15" xfId="0" applyFont="1" applyFill="1" applyBorder="1" applyAlignment="1" applyProtection="1">
      <alignment horizontal="center" vertical="center" wrapText="1"/>
      <protection locked="0"/>
    </xf>
    <xf numFmtId="0" fontId="12" fillId="14" borderId="15" xfId="0" applyFont="1" applyFill="1" applyBorder="1" applyAlignment="1" applyProtection="1">
      <alignment horizontal="center" vertical="center" wrapText="1"/>
      <protection locked="0"/>
    </xf>
    <xf numFmtId="0" fontId="17" fillId="14" borderId="15" xfId="0" applyFont="1" applyFill="1" applyBorder="1" applyAlignment="1">
      <alignment horizontal="center" vertical="center" wrapText="1"/>
    </xf>
    <xf numFmtId="0" fontId="5" fillId="14" borderId="15" xfId="0" applyFont="1" applyFill="1" applyBorder="1" applyAlignment="1">
      <alignment horizontal="center" vertical="center" wrapText="1"/>
    </xf>
    <xf numFmtId="0" fontId="66" fillId="14" borderId="15" xfId="0" applyFont="1" applyFill="1" applyBorder="1" applyAlignment="1">
      <alignment horizontal="center" vertical="center"/>
    </xf>
    <xf numFmtId="165" fontId="4" fillId="2" borderId="0" xfId="0" applyNumberFormat="1" applyFont="1" applyFill="1" applyAlignment="1">
      <alignment horizontal="center" vertical="center"/>
    </xf>
    <xf numFmtId="165" fontId="4" fillId="2" borderId="0" xfId="0" applyNumberFormat="1" applyFont="1" applyFill="1" applyAlignment="1">
      <alignment horizontal="center"/>
    </xf>
    <xf numFmtId="0" fontId="19" fillId="2" borderId="14" xfId="0" applyFont="1" applyFill="1" applyBorder="1" applyAlignment="1">
      <alignment horizontal="center" vertical="center"/>
    </xf>
    <xf numFmtId="0" fontId="19" fillId="2" borderId="16" xfId="0" applyFont="1" applyFill="1" applyBorder="1" applyAlignment="1">
      <alignment horizontal="center" vertical="center"/>
    </xf>
    <xf numFmtId="0" fontId="19" fillId="2" borderId="17" xfId="0" applyFont="1" applyFill="1" applyBorder="1" applyAlignment="1">
      <alignment horizontal="center" vertical="center"/>
    </xf>
    <xf numFmtId="0" fontId="19" fillId="2" borderId="18" xfId="0" applyFont="1" applyFill="1" applyBorder="1" applyAlignment="1">
      <alignment horizontal="center" vertical="center"/>
    </xf>
    <xf numFmtId="0" fontId="19" fillId="2" borderId="12" xfId="0" applyFont="1" applyFill="1" applyBorder="1" applyAlignment="1">
      <alignment horizontal="center" vertical="center"/>
    </xf>
    <xf numFmtId="0" fontId="19" fillId="2" borderId="18" xfId="0" applyFont="1" applyFill="1" applyBorder="1" applyAlignment="1">
      <alignment horizontal="center" vertical="center" wrapText="1"/>
    </xf>
    <xf numFmtId="0" fontId="19" fillId="2" borderId="12" xfId="0" applyFont="1" applyFill="1" applyBorder="1" applyAlignment="1">
      <alignment horizontal="center" vertical="center" wrapText="1"/>
    </xf>
    <xf numFmtId="0" fontId="19" fillId="12" borderId="15" xfId="0" applyFont="1" applyFill="1" applyBorder="1" applyAlignment="1">
      <alignment horizontal="center" vertical="center" wrapText="1"/>
    </xf>
    <xf numFmtId="0" fontId="19" fillId="12" borderId="15" xfId="0" applyFont="1" applyFill="1" applyBorder="1" applyAlignment="1">
      <alignment horizontal="center" vertical="center"/>
    </xf>
    <xf numFmtId="0" fontId="17" fillId="2" borderId="15" xfId="2" applyFont="1" applyFill="1" applyBorder="1" applyAlignment="1">
      <alignment horizontal="left" vertical="center" wrapText="1"/>
    </xf>
    <xf numFmtId="0" fontId="44" fillId="9" borderId="14" xfId="2" applyFont="1" applyFill="1" applyBorder="1" applyAlignment="1">
      <alignment horizontal="center" vertical="center"/>
    </xf>
    <xf numFmtId="0" fontId="44" fillId="9" borderId="16" xfId="2" applyFont="1" applyFill="1" applyBorder="1" applyAlignment="1">
      <alignment horizontal="center" vertical="center"/>
    </xf>
    <xf numFmtId="0" fontId="44" fillId="9" borderId="17" xfId="2" applyFont="1" applyFill="1" applyBorder="1" applyAlignment="1">
      <alignment horizontal="center" vertical="center"/>
    </xf>
    <xf numFmtId="0" fontId="44" fillId="2" borderId="18" xfId="0" applyFont="1" applyFill="1" applyBorder="1" applyAlignment="1">
      <alignment horizontal="center" vertical="center"/>
    </xf>
    <xf numFmtId="0" fontId="44" fillId="2" borderId="22" xfId="0" applyFont="1" applyFill="1" applyBorder="1" applyAlignment="1">
      <alignment horizontal="center" vertical="center"/>
    </xf>
    <xf numFmtId="0" fontId="44" fillId="2" borderId="12" xfId="0" applyFont="1" applyFill="1" applyBorder="1" applyAlignment="1">
      <alignment horizontal="center" vertical="center"/>
    </xf>
    <xf numFmtId="0" fontId="44" fillId="2" borderId="18" xfId="0" applyFont="1" applyFill="1" applyBorder="1" applyAlignment="1">
      <alignment horizontal="center" vertical="center" wrapText="1"/>
    </xf>
    <xf numFmtId="0" fontId="44" fillId="2" borderId="22" xfId="0" applyFont="1" applyFill="1" applyBorder="1" applyAlignment="1">
      <alignment horizontal="center" vertical="center" wrapText="1"/>
    </xf>
    <xf numFmtId="0" fontId="44" fillId="2" borderId="12" xfId="0" applyFont="1" applyFill="1" applyBorder="1" applyAlignment="1">
      <alignment horizontal="center" vertical="center" wrapText="1"/>
    </xf>
    <xf numFmtId="0" fontId="44" fillId="2" borderId="14" xfId="0" applyFont="1" applyFill="1" applyBorder="1" applyAlignment="1">
      <alignment horizontal="center" vertical="center"/>
    </xf>
    <xf numFmtId="0" fontId="44" fillId="2" borderId="16" xfId="0" applyFont="1" applyFill="1" applyBorder="1" applyAlignment="1">
      <alignment horizontal="center" vertical="center"/>
    </xf>
    <xf numFmtId="0" fontId="44" fillId="2" borderId="17" xfId="0" applyFont="1" applyFill="1" applyBorder="1" applyAlignment="1">
      <alignment horizontal="center" vertical="center"/>
    </xf>
    <xf numFmtId="0" fontId="17" fillId="2" borderId="15" xfId="0" applyFont="1" applyFill="1" applyBorder="1" applyAlignment="1">
      <alignment horizontal="center" vertical="center"/>
    </xf>
    <xf numFmtId="0" fontId="44" fillId="2" borderId="15" xfId="0" applyFont="1" applyFill="1" applyBorder="1" applyAlignment="1">
      <alignment horizontal="center" vertical="center" wrapText="1"/>
    </xf>
    <xf numFmtId="0" fontId="44" fillId="2" borderId="15" xfId="0" applyFont="1" applyFill="1" applyBorder="1" applyAlignment="1">
      <alignment horizontal="center" vertical="center"/>
    </xf>
    <xf numFmtId="0" fontId="5" fillId="12" borderId="15" xfId="0" applyFont="1" applyFill="1" applyBorder="1" applyAlignment="1">
      <alignment horizontal="center" vertical="center"/>
    </xf>
    <xf numFmtId="0" fontId="5" fillId="12" borderId="15" xfId="0" applyFont="1" applyFill="1" applyBorder="1" applyAlignment="1">
      <alignment horizontal="center" vertical="center" wrapText="1"/>
    </xf>
    <xf numFmtId="0" fontId="44" fillId="9" borderId="15" xfId="2" applyFont="1" applyFill="1" applyBorder="1" applyAlignment="1">
      <alignment horizontal="center" vertical="center"/>
    </xf>
    <xf numFmtId="0" fontId="23" fillId="2" borderId="63" xfId="0" applyFont="1" applyFill="1" applyBorder="1" applyAlignment="1">
      <alignment horizontal="center" vertical="top"/>
    </xf>
    <xf numFmtId="0" fontId="23" fillId="2" borderId="64" xfId="0" applyFont="1" applyFill="1" applyBorder="1" applyAlignment="1">
      <alignment horizontal="center" vertical="top"/>
    </xf>
    <xf numFmtId="0" fontId="22" fillId="9" borderId="15" xfId="2" applyFont="1" applyFill="1" applyBorder="1" applyAlignment="1">
      <alignment horizontal="center" vertical="center"/>
    </xf>
    <xf numFmtId="0" fontId="12" fillId="2" borderId="0" xfId="0" applyFont="1" applyFill="1" applyAlignment="1" applyProtection="1">
      <alignment horizontal="center" vertical="center" wrapText="1"/>
      <protection locked="0"/>
    </xf>
    <xf numFmtId="0" fontId="17" fillId="2" borderId="0" xfId="0" applyFont="1" applyFill="1" applyAlignment="1">
      <alignment horizontal="center" vertical="center"/>
    </xf>
    <xf numFmtId="0" fontId="17" fillId="2" borderId="0" xfId="0" applyFont="1" applyFill="1" applyAlignment="1">
      <alignment horizontal="center" vertical="center" wrapText="1"/>
    </xf>
    <xf numFmtId="0" fontId="5" fillId="2" borderId="68" xfId="0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0" fillId="5" borderId="66" xfId="0" applyFill="1" applyBorder="1" applyAlignment="1">
      <alignment horizontal="center"/>
    </xf>
    <xf numFmtId="0" fontId="0" fillId="5" borderId="43" xfId="0" applyFill="1" applyBorder="1" applyAlignment="1">
      <alignment horizontal="center"/>
    </xf>
    <xf numFmtId="0" fontId="0" fillId="5" borderId="72" xfId="0" applyFill="1" applyBorder="1" applyAlignment="1">
      <alignment horizontal="center"/>
    </xf>
    <xf numFmtId="0" fontId="17" fillId="2" borderId="67" xfId="0" applyFont="1" applyFill="1" applyBorder="1" applyAlignment="1">
      <alignment horizontal="center" vertical="center" wrapText="1"/>
    </xf>
    <xf numFmtId="0" fontId="17" fillId="2" borderId="49" xfId="0" applyFont="1" applyFill="1" applyBorder="1" applyAlignment="1">
      <alignment horizontal="center" vertical="center" wrapText="1"/>
    </xf>
    <xf numFmtId="0" fontId="17" fillId="2" borderId="58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17" fillId="2" borderId="58" xfId="0" applyFont="1" applyFill="1" applyBorder="1" applyAlignment="1">
      <alignment horizontal="center" vertical="center"/>
    </xf>
    <xf numFmtId="0" fontId="2" fillId="0" borderId="59" xfId="0" applyFont="1" applyBorder="1" applyAlignment="1">
      <alignment horizontal="center" vertical="center" wrapText="1"/>
    </xf>
    <xf numFmtId="0" fontId="2" fillId="0" borderId="40" xfId="0" applyFont="1" applyBorder="1" applyAlignment="1">
      <alignment horizontal="center" vertical="center" wrapText="1"/>
    </xf>
    <xf numFmtId="0" fontId="27" fillId="11" borderId="15" xfId="0" applyFont="1" applyFill="1" applyBorder="1" applyAlignment="1" applyProtection="1">
      <alignment horizontal="center" vertical="center"/>
      <protection locked="0"/>
    </xf>
    <xf numFmtId="0" fontId="22" fillId="0" borderId="54" xfId="0" applyFont="1" applyBorder="1" applyAlignment="1">
      <alignment horizontal="center" vertical="center" wrapText="1"/>
    </xf>
    <xf numFmtId="0" fontId="22" fillId="0" borderId="55" xfId="0" applyFont="1" applyBorder="1" applyAlignment="1">
      <alignment horizontal="center" vertical="center" wrapText="1"/>
    </xf>
    <xf numFmtId="0" fontId="22" fillId="0" borderId="56" xfId="0" applyFont="1" applyBorder="1" applyAlignment="1">
      <alignment horizontal="center" vertical="center" wrapText="1"/>
    </xf>
    <xf numFmtId="0" fontId="43" fillId="0" borderId="39" xfId="0" applyFont="1" applyBorder="1" applyAlignment="1" applyProtection="1">
      <alignment horizontal="center" vertical="center" wrapText="1"/>
      <protection locked="0"/>
    </xf>
    <xf numFmtId="0" fontId="43" fillId="0" borderId="15" xfId="0" applyFont="1" applyBorder="1" applyAlignment="1" applyProtection="1">
      <alignment horizontal="center" vertical="center" wrapText="1"/>
      <protection locked="0"/>
    </xf>
    <xf numFmtId="187" fontId="2" fillId="2" borderId="15" xfId="0" applyNumberFormat="1" applyFont="1" applyFill="1" applyBorder="1"/>
    <xf numFmtId="165" fontId="48" fillId="0" borderId="3" xfId="0" applyNumberFormat="1" applyFont="1" applyBorder="1" applyAlignment="1">
      <alignment horizontal="center" vertical="center"/>
    </xf>
    <xf numFmtId="164" fontId="48" fillId="0" borderId="5" xfId="0" applyNumberFormat="1" applyFont="1" applyBorder="1" applyAlignment="1">
      <alignment horizontal="center" vertical="center"/>
    </xf>
    <xf numFmtId="165" fontId="48" fillId="0" borderId="7" xfId="0" applyNumberFormat="1" applyFont="1" applyBorder="1" applyAlignment="1">
      <alignment horizontal="center" vertical="center"/>
    </xf>
  </cellXfs>
  <cellStyles count="5">
    <cellStyle name="Normal" xfId="0" builtinId="0"/>
    <cellStyle name="Normal 2" xfId="2" xr:uid="{00000000-0005-0000-0000-000001000000}"/>
    <cellStyle name="Normal 2 3" xfId="4" xr:uid="{6150F619-D7C4-4BF8-B066-7B3446AE60A3}"/>
    <cellStyle name="Normal_Daftar kelistrikan (ecg)" xfId="3" xr:uid="{00000000-0005-0000-0000-000002000000}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314325</xdr:colOff>
      <xdr:row>0</xdr:row>
      <xdr:rowOff>0</xdr:rowOff>
    </xdr:from>
    <xdr:to>
      <xdr:col>9</xdr:col>
      <xdr:colOff>485775</xdr:colOff>
      <xdr:row>0</xdr:row>
      <xdr:rowOff>133350</xdr:rowOff>
    </xdr:to>
    <xdr:sp macro="" textlink="">
      <xdr:nvSpPr>
        <xdr:cNvPr id="2" name="Text Box 78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>
          <a:spLocks noChangeArrowheads="1"/>
        </xdr:cNvSpPr>
      </xdr:nvSpPr>
      <xdr:spPr bwMode="auto">
        <a:xfrm>
          <a:off x="6867525" y="171450"/>
          <a:ext cx="78105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SOFTWARE%202019\SOFTWARE%20TEKANAN\TENSIMETER%208-1-2019%20KAN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laragon\www\traxel\public\excel\Syringe_Pump-04-01-2023.xlsx" TargetMode="External"/><Relationship Id="rId1" Type="http://schemas.openxmlformats.org/officeDocument/2006/relationships/externalLinkPath" Target="Syringe_Pump-04-01-2023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yBook%20PRO%20K7\Downloads\Flowmeter-30-08-2023.xlsx" TargetMode="External"/><Relationship Id="rId1" Type="http://schemas.openxmlformats.org/officeDocument/2006/relationships/externalLinkPath" Target="Flowmeter-30-08-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EMBAR KERJA"/>
      <sheetName val="INPUT"/>
      <sheetName val="BUDGET"/>
      <sheetName val="PENYELIA"/>
      <sheetName val="YANTEK"/>
      <sheetName val="SERTIFIKAT"/>
      <sheetName val="INPUT DATA SERTIFIKAT TERKINI "/>
      <sheetName val="INPUT DATA SERTIFIKAT YANG LALU"/>
      <sheetName val="SERTIFIKAT THERMOHYGROMETER"/>
      <sheetName val="KESIMPULAN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LK"/>
      <sheetName val="Riwayat Revisi"/>
      <sheetName val="ID"/>
      <sheetName val="LH"/>
      <sheetName val="UB"/>
      <sheetName val="PENYELIA"/>
      <sheetName val="SERTIFIKAT"/>
      <sheetName val="DB Thermohygro"/>
      <sheetName val="DB Kelistrikan"/>
      <sheetName val="DB IDA"/>
      <sheetName val="SCORING"/>
    </sheetNames>
    <sheetDataSet>
      <sheetData sheetId="0" refreshError="1"/>
      <sheetData sheetId="1" refreshError="1"/>
      <sheetData sheetId="2">
        <row r="11">
          <cell r="E11" t="str">
            <v>ICU</v>
          </cell>
        </row>
        <row r="13">
          <cell r="E13" t="str">
            <v>MK 047-18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LK"/>
      <sheetName val="Riwayat Revisi"/>
      <sheetName val="ID"/>
      <sheetName val="LH"/>
      <sheetName val="PENYELIA"/>
      <sheetName val="Alamat"/>
      <sheetName val="SERTIFIKAT"/>
      <sheetName val="DB Thermohygro"/>
      <sheetName val="UB"/>
      <sheetName val="DB Gas FLow Analyzer"/>
      <sheetName val="SCORING"/>
    </sheetNames>
    <sheetDataSet>
      <sheetData sheetId="0"/>
      <sheetData sheetId="1"/>
      <sheetData sheetId="2">
        <row r="27">
          <cell r="E27">
            <v>1000</v>
          </cell>
          <cell r="F27">
            <v>1000</v>
          </cell>
          <cell r="G27">
            <v>1000</v>
          </cell>
          <cell r="H27">
            <v>1000</v>
          </cell>
          <cell r="I27">
            <v>1000</v>
          </cell>
        </row>
        <row r="28">
          <cell r="E28">
            <v>2000</v>
          </cell>
          <cell r="F28">
            <v>2000</v>
          </cell>
          <cell r="G28">
            <v>2000</v>
          </cell>
          <cell r="H28">
            <v>2000</v>
          </cell>
          <cell r="I28">
            <v>2000</v>
          </cell>
        </row>
        <row r="29">
          <cell r="E29">
            <v>3000</v>
          </cell>
          <cell r="F29">
            <v>3000</v>
          </cell>
          <cell r="G29">
            <v>3000</v>
          </cell>
          <cell r="H29">
            <v>3000</v>
          </cell>
          <cell r="I29">
            <v>3000</v>
          </cell>
        </row>
        <row r="30">
          <cell r="E30">
            <v>4000</v>
          </cell>
          <cell r="F30">
            <v>4000</v>
          </cell>
          <cell r="G30">
            <v>4000</v>
          </cell>
          <cell r="H30">
            <v>4000</v>
          </cell>
          <cell r="I30">
            <v>4000</v>
          </cell>
        </row>
        <row r="31">
          <cell r="E31">
            <v>5000</v>
          </cell>
          <cell r="F31">
            <v>5000</v>
          </cell>
          <cell r="G31">
            <v>5000</v>
          </cell>
          <cell r="H31">
            <v>5000</v>
          </cell>
          <cell r="I31">
            <v>5000</v>
          </cell>
        </row>
      </sheetData>
      <sheetData sheetId="3"/>
      <sheetData sheetId="4">
        <row r="50">
          <cell r="K50">
            <v>99.998999999999995</v>
          </cell>
        </row>
      </sheetData>
      <sheetData sheetId="5"/>
      <sheetData sheetId="6"/>
      <sheetData sheetId="7"/>
      <sheetData sheetId="8">
        <row r="28">
          <cell r="J28">
            <v>0.58181537051264076</v>
          </cell>
        </row>
        <row r="41">
          <cell r="J41">
            <v>0.58256115868666736</v>
          </cell>
        </row>
        <row r="54">
          <cell r="J54">
            <v>0.58342495816849937</v>
          </cell>
        </row>
        <row r="67">
          <cell r="J67">
            <v>0.58440648711863341</v>
          </cell>
        </row>
      </sheetData>
      <sheetData sheetId="9">
        <row r="4">
          <cell r="B4">
            <v>2018</v>
          </cell>
          <cell r="C4">
            <v>2015</v>
          </cell>
          <cell r="D4" t="str">
            <v>-</v>
          </cell>
          <cell r="I4">
            <v>2019</v>
          </cell>
          <cell r="J4" t="str">
            <v>-</v>
          </cell>
          <cell r="K4" t="str">
            <v>-</v>
          </cell>
          <cell r="P4">
            <v>2020</v>
          </cell>
          <cell r="Q4" t="str">
            <v>-</v>
          </cell>
          <cell r="R4" t="str">
            <v>-</v>
          </cell>
          <cell r="W4" t="str">
            <v>-</v>
          </cell>
          <cell r="X4" t="str">
            <v>-</v>
          </cell>
          <cell r="Y4" t="str">
            <v>-</v>
          </cell>
        </row>
        <row r="14">
          <cell r="B14">
            <v>2017</v>
          </cell>
          <cell r="C14" t="str">
            <v>-</v>
          </cell>
          <cell r="D14" t="str">
            <v>-</v>
          </cell>
          <cell r="I14">
            <v>2019</v>
          </cell>
          <cell r="J14" t="str">
            <v>-</v>
          </cell>
          <cell r="K14" t="str">
            <v>-</v>
          </cell>
          <cell r="P14">
            <v>2022</v>
          </cell>
          <cell r="Q14" t="str">
            <v>-</v>
          </cell>
          <cell r="R14" t="str">
            <v>-</v>
          </cell>
          <cell r="W14" t="str">
            <v>-</v>
          </cell>
          <cell r="X14" t="str">
            <v>-</v>
          </cell>
          <cell r="Y14" t="str">
            <v>-</v>
          </cell>
        </row>
        <row r="24">
          <cell r="B24">
            <v>2020</v>
          </cell>
          <cell r="C24">
            <v>2017</v>
          </cell>
          <cell r="D24" t="str">
            <v>-</v>
          </cell>
          <cell r="I24">
            <v>2019</v>
          </cell>
          <cell r="J24" t="str">
            <v>-</v>
          </cell>
          <cell r="K24" t="str">
            <v>-</v>
          </cell>
          <cell r="P24">
            <v>2022</v>
          </cell>
          <cell r="Q24" t="str">
            <v>-</v>
          </cell>
          <cell r="R24" t="str">
            <v>-</v>
          </cell>
          <cell r="W24" t="str">
            <v>-</v>
          </cell>
          <cell r="X24" t="str">
            <v>-</v>
          </cell>
          <cell r="Y24" t="str">
            <v>-</v>
          </cell>
        </row>
        <row r="34">
          <cell r="B34">
            <v>2018</v>
          </cell>
          <cell r="C34" t="str">
            <v>-</v>
          </cell>
          <cell r="D34" t="str">
            <v>-</v>
          </cell>
          <cell r="I34">
            <v>2019</v>
          </cell>
          <cell r="J34" t="str">
            <v>-</v>
          </cell>
          <cell r="K34" t="str">
            <v>-</v>
          </cell>
          <cell r="P34" t="str">
            <v>-</v>
          </cell>
          <cell r="Q34" t="str">
            <v>-</v>
          </cell>
          <cell r="R34" t="str">
            <v>-</v>
          </cell>
          <cell r="W34" t="str">
            <v>-</v>
          </cell>
          <cell r="X34" t="str">
            <v>-</v>
          </cell>
          <cell r="Y34" t="str">
            <v>-</v>
          </cell>
        </row>
        <row r="219">
          <cell r="A219" t="str">
            <v>Gas Flow Analyzer, Merek : Fluke, Model : VT305, SN : BF102142</v>
          </cell>
        </row>
        <row r="220">
          <cell r="A220" t="str">
            <v>Gas Flow Analyzer, Merek : Fluke, Model : VT305, SN : BF100519</v>
          </cell>
          <cell r="J220">
            <v>2018</v>
          </cell>
          <cell r="K220">
            <v>2015</v>
          </cell>
          <cell r="L220" t="str">
            <v>-</v>
          </cell>
          <cell r="M220">
            <v>1</v>
          </cell>
        </row>
        <row r="221">
          <cell r="A221" t="str">
            <v>Gas Flow Analyzer, Merek : Fluke, Model : VT Plus HF, SN : 2847038</v>
          </cell>
          <cell r="J221">
            <v>2017</v>
          </cell>
          <cell r="K221" t="str">
            <v>-</v>
          </cell>
          <cell r="L221" t="str">
            <v>-</v>
          </cell>
          <cell r="M221">
            <v>2</v>
          </cell>
        </row>
        <row r="222">
          <cell r="A222" t="str">
            <v>Gas Flow Analyzer, Merek : IMT Medical, Model : PF-300, SN : BA101580</v>
          </cell>
          <cell r="J222">
            <v>2020</v>
          </cell>
          <cell r="K222">
            <v>2017</v>
          </cell>
          <cell r="L222" t="str">
            <v>-</v>
          </cell>
          <cell r="M222">
            <v>3</v>
          </cell>
        </row>
        <row r="223">
          <cell r="A223" t="str">
            <v>Gas Flow Analyzer, Merek : IMT Medical, Model : PF-300, SN : BA120302</v>
          </cell>
          <cell r="J223">
            <v>2018</v>
          </cell>
          <cell r="K223" t="str">
            <v>-</v>
          </cell>
          <cell r="L223" t="str">
            <v>-</v>
          </cell>
          <cell r="M223">
            <v>4</v>
          </cell>
        </row>
        <row r="224">
          <cell r="A224" t="str">
            <v>Gas Flow Analyzer, Merek : Fluke, Model : VT305, SN : BF102163</v>
          </cell>
          <cell r="J224">
            <v>2019</v>
          </cell>
          <cell r="K224" t="str">
            <v>-</v>
          </cell>
          <cell r="L224" t="str">
            <v>-</v>
          </cell>
          <cell r="M224">
            <v>5</v>
          </cell>
        </row>
        <row r="225">
          <cell r="A225" t="str">
            <v>Gas Flow Analyzer, Merek : Fluke, Model : VT305, SN : BF102142</v>
          </cell>
          <cell r="J225">
            <v>2019</v>
          </cell>
          <cell r="K225" t="str">
            <v>-</v>
          </cell>
          <cell r="L225" t="str">
            <v>-</v>
          </cell>
          <cell r="M225">
            <v>6</v>
          </cell>
        </row>
        <row r="226">
          <cell r="A226" t="str">
            <v>Gas Flow Analyzer, Merek : Rigel, Model : Ventest 800, SN : BA120986</v>
          </cell>
          <cell r="J226">
            <v>2019</v>
          </cell>
          <cell r="K226" t="str">
            <v>-</v>
          </cell>
          <cell r="L226" t="str">
            <v>-</v>
          </cell>
          <cell r="M226">
            <v>7</v>
          </cell>
        </row>
        <row r="227">
          <cell r="A227" t="str">
            <v>Gas Flow Analyzer, Merek : Rigel, Model : Ventest 800, SN : BA120987</v>
          </cell>
          <cell r="J227">
            <v>2019</v>
          </cell>
          <cell r="K227" t="str">
            <v>-</v>
          </cell>
          <cell r="L227" t="str">
            <v>-</v>
          </cell>
          <cell r="M227">
            <v>8</v>
          </cell>
        </row>
        <row r="228">
          <cell r="A228" t="str">
            <v>Gas Flow Analyzer, Merek : Rigel, Model : Ventest 800, SN : BA200651</v>
          </cell>
          <cell r="J228">
            <v>2020</v>
          </cell>
          <cell r="K228" t="str">
            <v>-</v>
          </cell>
          <cell r="L228" t="str">
            <v>-</v>
          </cell>
          <cell r="M228">
            <v>9</v>
          </cell>
        </row>
        <row r="229">
          <cell r="A229" t="str">
            <v>Gas Flow Analyzer, Merek : Fluke, Model : VT900A, SN : 5101035-5102036</v>
          </cell>
          <cell r="J229">
            <v>2022</v>
          </cell>
          <cell r="K229" t="str">
            <v>-</v>
          </cell>
          <cell r="L229" t="str">
            <v>-</v>
          </cell>
          <cell r="M229">
            <v>10</v>
          </cell>
        </row>
        <row r="230">
          <cell r="A230" t="str">
            <v>Gas Flow Analyzer, Merek : Fluke, Model : VT900A, SN : 5101752-5102038</v>
          </cell>
          <cell r="J230">
            <v>2022</v>
          </cell>
          <cell r="K230" t="str">
            <v>-</v>
          </cell>
          <cell r="L230" t="str">
            <v>-</v>
          </cell>
          <cell r="M230">
            <v>11</v>
          </cell>
        </row>
        <row r="231">
          <cell r="A231" t="str">
            <v>Gas Flow Analyzer, Merek : Rigel, Model :-, SN : -</v>
          </cell>
          <cell r="J231" t="str">
            <v>-</v>
          </cell>
          <cell r="K231" t="str">
            <v>-</v>
          </cell>
          <cell r="L231" t="str">
            <v>-</v>
          </cell>
          <cell r="M231">
            <v>12</v>
          </cell>
        </row>
        <row r="232">
          <cell r="A232" t="str">
            <v>Gas Flow Analyzer, Merek : Rigel, Model :-, SN : -</v>
          </cell>
          <cell r="J232" t="str">
            <v>-</v>
          </cell>
          <cell r="K232" t="str">
            <v>-</v>
          </cell>
          <cell r="L232" t="str">
            <v>-</v>
          </cell>
          <cell r="M232">
            <v>13</v>
          </cell>
        </row>
        <row r="233">
          <cell r="A233" t="str">
            <v>Gas Flow Analyzer, Merek : Rigel, Model :-, SN : -</v>
          </cell>
          <cell r="J233" t="str">
            <v>-</v>
          </cell>
          <cell r="K233" t="str">
            <v>-</v>
          </cell>
          <cell r="L233" t="str">
            <v>-</v>
          </cell>
          <cell r="M233">
            <v>14</v>
          </cell>
        </row>
        <row r="234">
          <cell r="A234" t="str">
            <v>Gas Flow Analyzer, Merek : Rigel, Model :-, SN : -</v>
          </cell>
          <cell r="J234" t="str">
            <v>-</v>
          </cell>
          <cell r="K234" t="str">
            <v>-</v>
          </cell>
          <cell r="L234" t="str">
            <v>-</v>
          </cell>
          <cell r="M234">
            <v>15</v>
          </cell>
        </row>
        <row r="235">
          <cell r="A235" t="str">
            <v>Gas Flow Analyzer, Merek : Rigel, Model :-, SN : -</v>
          </cell>
          <cell r="J235" t="str">
            <v>-</v>
          </cell>
          <cell r="K235" t="str">
            <v>-</v>
          </cell>
          <cell r="L235" t="str">
            <v>-</v>
          </cell>
          <cell r="M235">
            <v>16</v>
          </cell>
        </row>
        <row r="236">
          <cell r="A236">
            <v>6</v>
          </cell>
        </row>
      </sheetData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70"/>
  <sheetViews>
    <sheetView view="pageBreakPreview" zoomScaleNormal="100" zoomScaleSheetLayoutView="100" workbookViewId="0">
      <selection activeCell="J55" sqref="J55"/>
    </sheetView>
  </sheetViews>
  <sheetFormatPr defaultColWidth="9.1796875" defaultRowHeight="12.5" x14ac:dyDescent="0.25"/>
  <cols>
    <col min="1" max="1" width="5" style="1" customWidth="1"/>
    <col min="2" max="2" width="5.81640625" style="1" customWidth="1"/>
    <col min="3" max="3" width="16.54296875" style="1" customWidth="1"/>
    <col min="4" max="4" width="9.1796875" style="1"/>
    <col min="5" max="5" width="10.7265625" style="1" customWidth="1"/>
    <col min="6" max="6" width="12.1796875" style="1" customWidth="1"/>
    <col min="7" max="7" width="11.54296875" style="1" customWidth="1"/>
    <col min="8" max="8" width="10.7265625" style="1" customWidth="1"/>
    <col min="9" max="9" width="9.81640625" style="1" customWidth="1"/>
    <col min="10" max="10" width="12.453125" style="1" customWidth="1"/>
    <col min="11" max="11" width="7.81640625" style="1" customWidth="1"/>
    <col min="12" max="12" width="10.453125" style="1" customWidth="1"/>
    <col min="13" max="16384" width="9.1796875" style="1"/>
  </cols>
  <sheetData>
    <row r="1" spans="1:14" ht="18" x14ac:dyDescent="0.4">
      <c r="A1" s="851" t="s">
        <v>0</v>
      </c>
      <c r="B1" s="851"/>
      <c r="C1" s="851"/>
      <c r="D1" s="851"/>
      <c r="E1" s="851"/>
      <c r="F1" s="851"/>
      <c r="G1" s="851"/>
      <c r="H1" s="851"/>
      <c r="I1" s="851"/>
      <c r="J1" s="851"/>
      <c r="K1" s="851"/>
      <c r="L1" s="851"/>
      <c r="M1" s="63"/>
      <c r="N1" s="63"/>
    </row>
    <row r="2" spans="1:14" ht="16.5" x14ac:dyDescent="0.35">
      <c r="A2" s="852" t="s">
        <v>1</v>
      </c>
      <c r="B2" s="852"/>
      <c r="C2" s="852"/>
      <c r="D2" s="852"/>
      <c r="E2" s="852"/>
      <c r="F2" s="852"/>
      <c r="G2" s="852"/>
      <c r="H2" s="852"/>
      <c r="I2" s="852"/>
      <c r="J2" s="852"/>
      <c r="K2" s="852"/>
      <c r="L2" s="852"/>
    </row>
    <row r="3" spans="1:14" x14ac:dyDescent="0.25">
      <c r="I3" s="64"/>
      <c r="J3" s="65"/>
      <c r="K3" s="65"/>
    </row>
    <row r="4" spans="1:14" ht="15.5" x14ac:dyDescent="0.35">
      <c r="A4" s="66" t="s">
        <v>2</v>
      </c>
      <c r="B4" s="66"/>
      <c r="C4" s="66"/>
      <c r="D4" s="67" t="s">
        <v>3</v>
      </c>
      <c r="E4" s="68"/>
      <c r="F4" s="68"/>
      <c r="G4" s="68"/>
      <c r="H4" s="68"/>
      <c r="I4" s="64"/>
      <c r="J4" s="65"/>
      <c r="K4" s="65"/>
    </row>
    <row r="5" spans="1:14" ht="15.5" x14ac:dyDescent="0.35">
      <c r="A5" s="66" t="s">
        <v>4</v>
      </c>
      <c r="B5" s="66"/>
      <c r="C5" s="66"/>
      <c r="D5" s="69" t="s">
        <v>3</v>
      </c>
      <c r="E5" s="70"/>
      <c r="F5" s="70"/>
      <c r="G5" s="70"/>
      <c r="H5" s="70"/>
      <c r="I5" s="64"/>
      <c r="J5" s="65"/>
      <c r="K5" s="65"/>
    </row>
    <row r="6" spans="1:14" ht="15.5" x14ac:dyDescent="0.35">
      <c r="A6" s="66" t="s">
        <v>5</v>
      </c>
      <c r="B6" s="66"/>
      <c r="C6" s="66"/>
      <c r="D6" s="69" t="s">
        <v>3</v>
      </c>
      <c r="E6" s="70"/>
      <c r="F6" s="70"/>
      <c r="G6" s="70"/>
      <c r="H6" s="70"/>
      <c r="I6" s="64"/>
      <c r="J6" s="65"/>
      <c r="K6" s="65"/>
    </row>
    <row r="7" spans="1:14" ht="15.5" x14ac:dyDescent="0.35">
      <c r="A7" s="66" t="s">
        <v>6</v>
      </c>
      <c r="B7" s="66"/>
      <c r="C7" s="66"/>
      <c r="D7" s="69" t="s">
        <v>3</v>
      </c>
      <c r="E7" s="140" t="s">
        <v>7</v>
      </c>
      <c r="F7" s="140"/>
      <c r="G7" s="140"/>
      <c r="H7" s="140"/>
      <c r="I7" s="64"/>
      <c r="J7" s="65"/>
      <c r="K7" s="65"/>
    </row>
    <row r="8" spans="1:14" ht="15.5" x14ac:dyDescent="0.35">
      <c r="A8" s="66" t="s">
        <v>8</v>
      </c>
      <c r="B8" s="66"/>
      <c r="C8" s="66"/>
      <c r="D8" s="69" t="s">
        <v>9</v>
      </c>
      <c r="E8" s="68"/>
      <c r="F8" s="68"/>
      <c r="G8" s="68"/>
      <c r="H8" s="68"/>
      <c r="I8" s="64"/>
      <c r="J8" s="65"/>
      <c r="K8" s="65"/>
    </row>
    <row r="9" spans="1:14" ht="15.5" x14ac:dyDescent="0.35">
      <c r="A9" s="66" t="s">
        <v>10</v>
      </c>
      <c r="B9" s="66"/>
      <c r="C9" s="66"/>
      <c r="D9" s="69" t="s">
        <v>3</v>
      </c>
      <c r="E9" s="70"/>
      <c r="F9" s="70"/>
      <c r="G9" s="70"/>
      <c r="H9" s="70"/>
      <c r="I9" s="64"/>
      <c r="J9" s="65"/>
      <c r="K9" s="65"/>
    </row>
    <row r="10" spans="1:14" ht="15.5" x14ac:dyDescent="0.35">
      <c r="A10" s="66" t="s">
        <v>11</v>
      </c>
      <c r="B10" s="66"/>
      <c r="C10" s="66"/>
      <c r="D10" s="69" t="s">
        <v>3</v>
      </c>
      <c r="E10" s="70"/>
      <c r="F10" s="70"/>
      <c r="G10" s="70"/>
      <c r="H10" s="70"/>
      <c r="I10" s="64"/>
      <c r="J10" s="65"/>
      <c r="K10" s="65"/>
    </row>
    <row r="11" spans="1:14" ht="9" customHeight="1" x14ac:dyDescent="0.35">
      <c r="A11" s="66"/>
      <c r="B11" s="66"/>
      <c r="C11" s="66"/>
      <c r="D11" s="66"/>
      <c r="I11" s="64"/>
      <c r="J11" s="65"/>
      <c r="K11" s="65"/>
    </row>
    <row r="12" spans="1:14" ht="15.5" x14ac:dyDescent="0.35">
      <c r="A12" s="71" t="s">
        <v>12</v>
      </c>
      <c r="B12" s="71" t="s">
        <v>13</v>
      </c>
      <c r="C12" s="71"/>
      <c r="D12" s="71"/>
      <c r="E12" s="72"/>
      <c r="F12" s="72"/>
      <c r="G12" s="72"/>
      <c r="H12" s="72"/>
      <c r="I12" s="73"/>
      <c r="J12" s="74"/>
      <c r="K12" s="74"/>
    </row>
    <row r="13" spans="1:14" ht="15.5" x14ac:dyDescent="0.35">
      <c r="A13" s="71"/>
      <c r="B13" s="71"/>
      <c r="C13" s="71"/>
      <c r="D13" s="62" t="s">
        <v>14</v>
      </c>
      <c r="E13" s="62" t="s">
        <v>15</v>
      </c>
      <c r="F13" s="72"/>
      <c r="H13" s="72"/>
      <c r="I13" s="73"/>
      <c r="J13" s="74"/>
      <c r="K13" s="74"/>
    </row>
    <row r="14" spans="1:14" ht="15.5" x14ac:dyDescent="0.35">
      <c r="A14" s="66"/>
      <c r="B14" s="66" t="s">
        <v>16</v>
      </c>
      <c r="C14" s="66"/>
      <c r="D14" s="75"/>
      <c r="E14" s="76"/>
      <c r="F14" s="77" t="s">
        <v>17</v>
      </c>
      <c r="I14" s="64"/>
      <c r="J14" s="65"/>
      <c r="K14" s="65"/>
    </row>
    <row r="15" spans="1:14" ht="15.5" x14ac:dyDescent="0.35">
      <c r="A15" s="66"/>
      <c r="B15" s="66" t="s">
        <v>18</v>
      </c>
      <c r="C15" s="66"/>
      <c r="D15" s="75"/>
      <c r="E15" s="78"/>
      <c r="F15" s="1" t="s">
        <v>19</v>
      </c>
      <c r="I15" s="64"/>
      <c r="J15" s="65"/>
      <c r="K15" s="65"/>
    </row>
    <row r="16" spans="1:14" ht="15.5" x14ac:dyDescent="0.35">
      <c r="A16" s="66"/>
      <c r="B16" s="66" t="s">
        <v>20</v>
      </c>
      <c r="C16" s="66"/>
      <c r="D16" s="69" t="s">
        <v>3</v>
      </c>
      <c r="E16" s="70"/>
      <c r="F16" s="1" t="s">
        <v>21</v>
      </c>
      <c r="I16" s="64"/>
      <c r="J16" s="65"/>
      <c r="K16" s="65"/>
    </row>
    <row r="17" spans="1:14" ht="13.5" customHeight="1" x14ac:dyDescent="0.35">
      <c r="A17" s="66"/>
      <c r="B17" s="66"/>
      <c r="C17" s="66"/>
      <c r="D17" s="66"/>
      <c r="I17" s="64"/>
      <c r="J17" s="65"/>
      <c r="K17" s="65"/>
    </row>
    <row r="18" spans="1:14" ht="15.5" x14ac:dyDescent="0.35">
      <c r="A18" s="71" t="s">
        <v>22</v>
      </c>
      <c r="B18" s="71" t="s">
        <v>23</v>
      </c>
      <c r="C18" s="71"/>
      <c r="D18" s="71"/>
      <c r="E18" s="71"/>
      <c r="F18" s="71"/>
      <c r="G18" s="71"/>
      <c r="H18" s="71"/>
      <c r="I18" s="64"/>
      <c r="J18" s="65"/>
      <c r="K18" s="65"/>
      <c r="L18" s="137" t="s">
        <v>24</v>
      </c>
    </row>
    <row r="19" spans="1:14" ht="15.75" customHeight="1" x14ac:dyDescent="0.25">
      <c r="A19" s="79"/>
      <c r="B19" s="112" t="s">
        <v>25</v>
      </c>
      <c r="C19" s="112"/>
      <c r="D19" s="112" t="s">
        <v>26</v>
      </c>
      <c r="E19" s="112"/>
      <c r="F19" s="79"/>
      <c r="G19" s="79"/>
      <c r="H19" s="79"/>
      <c r="I19" s="64"/>
      <c r="J19" s="65"/>
      <c r="K19" s="65"/>
      <c r="L19" s="137">
        <v>5</v>
      </c>
    </row>
    <row r="20" spans="1:14" ht="14.25" customHeight="1" x14ac:dyDescent="0.25">
      <c r="A20" s="79"/>
      <c r="B20" s="112" t="s">
        <v>27</v>
      </c>
      <c r="C20" s="112"/>
      <c r="D20" s="112" t="s">
        <v>26</v>
      </c>
      <c r="E20" s="112"/>
      <c r="F20" s="79"/>
      <c r="G20" s="79"/>
      <c r="H20" s="79"/>
      <c r="I20" s="64"/>
      <c r="J20" s="65"/>
      <c r="K20" s="65"/>
      <c r="L20" s="137">
        <v>5</v>
      </c>
    </row>
    <row r="21" spans="1:14" ht="14.25" customHeight="1" x14ac:dyDescent="0.25">
      <c r="A21" s="79"/>
      <c r="B21" s="112"/>
      <c r="C21" s="112"/>
      <c r="D21" s="112"/>
      <c r="E21" s="112"/>
      <c r="F21" s="79"/>
      <c r="G21" s="79"/>
      <c r="H21" s="79"/>
      <c r="I21" s="64"/>
      <c r="J21" s="65"/>
      <c r="K21" s="65"/>
    </row>
    <row r="22" spans="1:14" ht="14.25" customHeight="1" x14ac:dyDescent="0.25">
      <c r="A22" s="113" t="s">
        <v>28</v>
      </c>
      <c r="B22" s="113" t="s">
        <v>29</v>
      </c>
      <c r="C22" s="112"/>
      <c r="D22" s="112"/>
      <c r="E22" s="112"/>
      <c r="F22" s="79"/>
      <c r="G22" s="79"/>
      <c r="H22" s="79"/>
      <c r="I22" s="64"/>
      <c r="J22" s="65"/>
      <c r="K22" s="65"/>
    </row>
    <row r="23" spans="1:14" ht="29.25" customHeight="1" x14ac:dyDescent="0.25">
      <c r="A23" s="79"/>
      <c r="B23" s="114" t="s">
        <v>30</v>
      </c>
      <c r="C23" s="846" t="s">
        <v>31</v>
      </c>
      <c r="D23" s="847"/>
      <c r="E23" s="847"/>
      <c r="F23" s="847"/>
      <c r="G23" s="848"/>
      <c r="H23" s="846" t="s">
        <v>32</v>
      </c>
      <c r="I23" s="848"/>
      <c r="J23" s="846" t="s">
        <v>33</v>
      </c>
      <c r="K23" s="848"/>
      <c r="L23" s="137" t="s">
        <v>24</v>
      </c>
    </row>
    <row r="24" spans="1:14" ht="14.25" customHeight="1" x14ac:dyDescent="0.25">
      <c r="A24" s="79"/>
      <c r="B24" s="115">
        <v>1</v>
      </c>
      <c r="C24" s="260" t="s">
        <v>34</v>
      </c>
      <c r="D24" s="116"/>
      <c r="E24" s="116"/>
      <c r="F24" s="116"/>
      <c r="G24" s="117"/>
      <c r="H24" s="125"/>
      <c r="I24" s="118" t="s">
        <v>35</v>
      </c>
      <c r="J24" s="263">
        <v>2</v>
      </c>
      <c r="K24" s="119" t="s">
        <v>35</v>
      </c>
      <c r="L24" s="137">
        <v>10</v>
      </c>
    </row>
    <row r="25" spans="1:14" ht="14.25" customHeight="1" x14ac:dyDescent="0.25">
      <c r="A25" s="79"/>
      <c r="B25" s="120">
        <v>2</v>
      </c>
      <c r="C25" s="261" t="s">
        <v>36</v>
      </c>
      <c r="D25" s="117"/>
      <c r="E25" s="117"/>
      <c r="F25" s="117"/>
      <c r="G25" s="117"/>
      <c r="H25" s="125"/>
      <c r="I25" s="121" t="s">
        <v>37</v>
      </c>
      <c r="J25" s="264" t="s">
        <v>38</v>
      </c>
      <c r="K25" s="119" t="s">
        <v>37</v>
      </c>
      <c r="L25" s="137">
        <v>10</v>
      </c>
    </row>
    <row r="26" spans="1:14" ht="14.25" customHeight="1" x14ac:dyDescent="0.25">
      <c r="A26" s="79"/>
      <c r="B26" s="122">
        <v>3</v>
      </c>
      <c r="C26" s="262" t="s">
        <v>39</v>
      </c>
      <c r="D26" s="123"/>
      <c r="E26" s="123"/>
      <c r="F26" s="123"/>
      <c r="G26" s="123"/>
      <c r="H26" s="126"/>
      <c r="I26" s="124" t="s">
        <v>40</v>
      </c>
      <c r="J26" s="265" t="s">
        <v>41</v>
      </c>
      <c r="K26" s="124" t="s">
        <v>40</v>
      </c>
      <c r="L26" s="137">
        <v>20</v>
      </c>
    </row>
    <row r="27" spans="1:14" ht="14.25" customHeight="1" x14ac:dyDescent="0.25">
      <c r="A27" s="79"/>
      <c r="B27" s="112"/>
      <c r="C27" s="112"/>
      <c r="D27" s="112"/>
      <c r="E27" s="112"/>
      <c r="F27" s="79"/>
      <c r="G27" s="79"/>
      <c r="H27" s="79"/>
      <c r="I27" s="64"/>
      <c r="J27" s="65"/>
      <c r="K27" s="65"/>
    </row>
    <row r="28" spans="1:14" ht="16.5" customHeight="1" x14ac:dyDescent="0.25">
      <c r="A28" s="113" t="s">
        <v>42</v>
      </c>
      <c r="B28" s="113" t="s">
        <v>43</v>
      </c>
      <c r="C28" s="112"/>
      <c r="D28" s="112"/>
      <c r="E28" s="112"/>
      <c r="F28" s="79"/>
      <c r="G28" s="79"/>
      <c r="H28" s="79"/>
      <c r="I28" s="64"/>
      <c r="J28" s="65"/>
      <c r="K28" s="65"/>
    </row>
    <row r="29" spans="1:14" ht="17.25" customHeight="1" x14ac:dyDescent="0.35">
      <c r="A29" s="71"/>
      <c r="B29" s="80" t="s">
        <v>44</v>
      </c>
      <c r="C29" s="81"/>
      <c r="D29" s="81"/>
      <c r="E29" s="82"/>
      <c r="F29" s="82"/>
      <c r="G29" s="82"/>
      <c r="H29" s="82"/>
      <c r="I29" s="64"/>
      <c r="J29" s="65"/>
      <c r="K29" s="65"/>
    </row>
    <row r="30" spans="1:14" ht="21" customHeight="1" x14ac:dyDescent="0.25">
      <c r="B30" s="842" t="s">
        <v>45</v>
      </c>
      <c r="C30" s="842" t="s">
        <v>31</v>
      </c>
      <c r="D30" s="842" t="s">
        <v>46</v>
      </c>
      <c r="E30" s="846" t="s">
        <v>47</v>
      </c>
      <c r="F30" s="847"/>
      <c r="G30" s="847"/>
      <c r="H30" s="847"/>
      <c r="I30" s="848"/>
      <c r="J30" s="844" t="s">
        <v>48</v>
      </c>
      <c r="K30" s="855"/>
      <c r="L30" s="856" t="s">
        <v>24</v>
      </c>
      <c r="M30" s="841"/>
      <c r="N30" s="841"/>
    </row>
    <row r="31" spans="1:14" ht="23.25" customHeight="1" x14ac:dyDescent="0.25">
      <c r="B31" s="843"/>
      <c r="C31" s="843"/>
      <c r="D31" s="843"/>
      <c r="E31" s="84" t="s">
        <v>49</v>
      </c>
      <c r="F31" s="84" t="s">
        <v>50</v>
      </c>
      <c r="G31" s="84" t="s">
        <v>51</v>
      </c>
      <c r="H31" s="84" t="s">
        <v>52</v>
      </c>
      <c r="I31" s="84" t="s">
        <v>53</v>
      </c>
      <c r="J31" s="845"/>
      <c r="K31" s="855"/>
      <c r="L31" s="857"/>
      <c r="M31" s="841"/>
      <c r="N31" s="841"/>
    </row>
    <row r="32" spans="1:14" ht="30" customHeight="1" x14ac:dyDescent="0.25">
      <c r="B32" s="835">
        <v>1</v>
      </c>
      <c r="C32" s="835" t="s">
        <v>54</v>
      </c>
      <c r="D32" s="85">
        <v>0.21</v>
      </c>
      <c r="E32" s="86"/>
      <c r="F32" s="86"/>
      <c r="G32" s="86"/>
      <c r="H32" s="86"/>
      <c r="I32" s="86"/>
      <c r="J32" s="849" t="s">
        <v>55</v>
      </c>
      <c r="K32" s="87"/>
      <c r="L32" s="137">
        <v>12.5</v>
      </c>
      <c r="M32" s="88"/>
      <c r="N32" s="89"/>
    </row>
    <row r="33" spans="1:14" ht="30" customHeight="1" x14ac:dyDescent="0.25">
      <c r="B33" s="837"/>
      <c r="C33" s="837"/>
      <c r="D33" s="135">
        <v>0.6</v>
      </c>
      <c r="E33" s="94"/>
      <c r="F33" s="94"/>
      <c r="G33" s="94"/>
      <c r="H33" s="94"/>
      <c r="I33" s="94"/>
      <c r="J33" s="850"/>
      <c r="K33" s="87"/>
      <c r="L33" s="137">
        <v>12.5</v>
      </c>
      <c r="M33" s="88"/>
      <c r="N33" s="89"/>
    </row>
    <row r="34" spans="1:14" ht="13.5" customHeight="1" x14ac:dyDescent="0.25">
      <c r="B34" s="128"/>
      <c r="C34" s="128"/>
      <c r="D34" s="133"/>
      <c r="E34" s="129"/>
      <c r="F34" s="129"/>
      <c r="G34" s="129"/>
      <c r="H34" s="129"/>
      <c r="I34" s="129"/>
      <c r="J34" s="134"/>
      <c r="K34" s="87"/>
      <c r="L34" s="138"/>
      <c r="M34" s="88"/>
      <c r="N34" s="89"/>
    </row>
    <row r="35" spans="1:14" ht="18.75" customHeight="1" x14ac:dyDescent="0.35">
      <c r="A35" s="98"/>
      <c r="B35" s="98" t="s">
        <v>56</v>
      </c>
      <c r="C35" s="128"/>
      <c r="D35" s="133"/>
      <c r="E35" s="129"/>
      <c r="F35" s="129"/>
      <c r="G35" s="129"/>
      <c r="H35" s="129"/>
      <c r="I35" s="129"/>
      <c r="J35" s="134"/>
      <c r="K35" s="87"/>
      <c r="L35" s="138"/>
      <c r="M35" s="88"/>
      <c r="N35" s="89"/>
    </row>
    <row r="36" spans="1:14" ht="26.25" customHeight="1" x14ac:dyDescent="0.25">
      <c r="B36" s="842" t="s">
        <v>45</v>
      </c>
      <c r="C36" s="842" t="s">
        <v>31</v>
      </c>
      <c r="D36" s="842" t="s">
        <v>46</v>
      </c>
      <c r="E36" s="846" t="s">
        <v>57</v>
      </c>
      <c r="F36" s="847"/>
      <c r="G36" s="847"/>
      <c r="H36" s="847"/>
      <c r="I36" s="848"/>
      <c r="J36" s="844" t="s">
        <v>48</v>
      </c>
      <c r="K36" s="87"/>
      <c r="L36" s="853" t="s">
        <v>24</v>
      </c>
      <c r="M36" s="88"/>
      <c r="N36" s="89"/>
    </row>
    <row r="37" spans="1:14" ht="18.75" customHeight="1" x14ac:dyDescent="0.25">
      <c r="B37" s="843"/>
      <c r="C37" s="843"/>
      <c r="D37" s="843"/>
      <c r="E37" s="84" t="s">
        <v>49</v>
      </c>
      <c r="F37" s="84" t="s">
        <v>50</v>
      </c>
      <c r="G37" s="84" t="s">
        <v>51</v>
      </c>
      <c r="H37" s="84" t="s">
        <v>52</v>
      </c>
      <c r="I37" s="84" t="s">
        <v>53</v>
      </c>
      <c r="J37" s="845"/>
      <c r="K37" s="87"/>
      <c r="L37" s="854"/>
      <c r="M37" s="88"/>
      <c r="N37" s="89"/>
    </row>
    <row r="38" spans="1:14" ht="30" customHeight="1" x14ac:dyDescent="0.25">
      <c r="B38" s="835">
        <v>2</v>
      </c>
      <c r="C38" s="835" t="s">
        <v>58</v>
      </c>
      <c r="D38" s="91"/>
      <c r="E38" s="86"/>
      <c r="F38" s="86"/>
      <c r="G38" s="86"/>
      <c r="H38" s="86"/>
      <c r="I38" s="86"/>
      <c r="J38" s="838">
        <v>10</v>
      </c>
      <c r="K38" s="87"/>
      <c r="L38" s="243">
        <v>5</v>
      </c>
      <c r="M38" s="88"/>
      <c r="N38" s="89"/>
    </row>
    <row r="39" spans="1:14" ht="30" customHeight="1" x14ac:dyDescent="0.25">
      <c r="B39" s="836"/>
      <c r="C39" s="836"/>
      <c r="D39" s="92"/>
      <c r="E39" s="90"/>
      <c r="F39" s="90"/>
      <c r="G39" s="90"/>
      <c r="H39" s="90"/>
      <c r="I39" s="132"/>
      <c r="J39" s="839"/>
      <c r="K39" s="87"/>
      <c r="L39" s="243">
        <v>5</v>
      </c>
      <c r="M39" s="88"/>
      <c r="N39" s="89"/>
    </row>
    <row r="40" spans="1:14" ht="30" customHeight="1" x14ac:dyDescent="0.25">
      <c r="B40" s="836"/>
      <c r="C40" s="836"/>
      <c r="D40" s="238"/>
      <c r="E40" s="239"/>
      <c r="F40" s="239"/>
      <c r="G40" s="239"/>
      <c r="H40" s="239"/>
      <c r="I40" s="240"/>
      <c r="J40" s="839"/>
      <c r="K40" s="87"/>
      <c r="L40" s="243">
        <v>5</v>
      </c>
      <c r="M40" s="88"/>
      <c r="N40" s="89"/>
    </row>
    <row r="41" spans="1:14" ht="30" customHeight="1" x14ac:dyDescent="0.25">
      <c r="B41" s="836"/>
      <c r="C41" s="836"/>
      <c r="D41" s="238"/>
      <c r="E41" s="239"/>
      <c r="F41" s="239"/>
      <c r="G41" s="239"/>
      <c r="H41" s="239"/>
      <c r="I41" s="240"/>
      <c r="J41" s="839"/>
      <c r="K41" s="87"/>
      <c r="L41" s="243">
        <v>5</v>
      </c>
      <c r="M41" s="88"/>
      <c r="N41" s="89"/>
    </row>
    <row r="42" spans="1:14" ht="30" customHeight="1" x14ac:dyDescent="0.25">
      <c r="B42" s="837"/>
      <c r="C42" s="837"/>
      <c r="D42" s="93"/>
      <c r="E42" s="94"/>
      <c r="F42" s="94"/>
      <c r="G42" s="94"/>
      <c r="H42" s="94"/>
      <c r="I42" s="94"/>
      <c r="J42" s="840"/>
      <c r="K42" s="87"/>
      <c r="L42" s="243">
        <v>5</v>
      </c>
      <c r="M42" s="88"/>
      <c r="N42" s="139">
        <f>SUM(L38:L42)</f>
        <v>25</v>
      </c>
    </row>
    <row r="43" spans="1:14" ht="18.75" customHeight="1" x14ac:dyDescent="0.25">
      <c r="B43" s="128"/>
      <c r="C43" s="128"/>
      <c r="D43" s="128"/>
      <c r="E43" s="129"/>
      <c r="F43" s="129"/>
      <c r="G43" s="129"/>
      <c r="H43" s="129"/>
      <c r="I43" s="129"/>
      <c r="J43" s="130"/>
      <c r="K43" s="87"/>
      <c r="L43" s="131"/>
      <c r="M43" s="88"/>
      <c r="N43" s="89"/>
    </row>
    <row r="44" spans="1:14" ht="15.5" x14ac:dyDescent="0.35">
      <c r="A44" s="71" t="s">
        <v>59</v>
      </c>
      <c r="B44" s="71" t="s">
        <v>60</v>
      </c>
      <c r="C44" s="66"/>
      <c r="D44" s="95"/>
      <c r="I44" s="64"/>
      <c r="J44" s="65"/>
      <c r="K44" s="65"/>
    </row>
    <row r="45" spans="1:14" ht="15.5" x14ac:dyDescent="0.35">
      <c r="A45" s="71"/>
      <c r="B45" s="66" t="s">
        <v>61</v>
      </c>
      <c r="C45" s="66"/>
      <c r="D45" s="95"/>
      <c r="I45" s="64"/>
      <c r="J45" s="65"/>
      <c r="K45" s="65"/>
    </row>
    <row r="46" spans="1:14" ht="15.5" x14ac:dyDescent="0.35">
      <c r="A46" s="66"/>
      <c r="B46" s="112" t="s">
        <v>62</v>
      </c>
      <c r="C46" s="96"/>
      <c r="D46" s="97"/>
      <c r="E46" s="97"/>
      <c r="F46" s="97"/>
      <c r="G46" s="97"/>
      <c r="H46" s="97"/>
      <c r="I46" s="97"/>
      <c r="J46" s="65"/>
      <c r="K46" s="65"/>
    </row>
    <row r="47" spans="1:14" ht="15.5" x14ac:dyDescent="0.35">
      <c r="A47" s="66"/>
      <c r="B47" s="66" t="s">
        <v>63</v>
      </c>
      <c r="C47" s="96"/>
      <c r="D47" s="97"/>
      <c r="E47" s="97"/>
      <c r="F47" s="97"/>
      <c r="G47" s="97"/>
      <c r="H47" s="97"/>
      <c r="I47" s="97"/>
      <c r="J47" s="65"/>
      <c r="K47" s="65"/>
    </row>
    <row r="48" spans="1:14" ht="15.5" x14ac:dyDescent="0.35">
      <c r="A48" s="66"/>
      <c r="B48" s="112" t="s">
        <v>64</v>
      </c>
      <c r="C48" s="96"/>
      <c r="D48" s="97"/>
      <c r="E48" s="97"/>
      <c r="F48" s="97"/>
      <c r="G48" s="97"/>
      <c r="H48" s="97"/>
      <c r="I48" s="97"/>
      <c r="J48" s="65"/>
      <c r="K48" s="65"/>
    </row>
    <row r="49" spans="1:13" ht="12.75" customHeight="1" x14ac:dyDescent="0.35">
      <c r="A49" s="66"/>
      <c r="B49" s="66"/>
      <c r="C49" s="96"/>
      <c r="D49" s="97"/>
      <c r="E49" s="97"/>
      <c r="F49" s="97"/>
      <c r="G49" s="97"/>
      <c r="H49" s="97"/>
      <c r="I49" s="97"/>
      <c r="J49" s="65"/>
      <c r="K49" s="65"/>
    </row>
    <row r="50" spans="1:13" ht="15.5" x14ac:dyDescent="0.35">
      <c r="A50" s="98" t="s">
        <v>65</v>
      </c>
      <c r="B50" s="98" t="s">
        <v>66</v>
      </c>
      <c r="C50" s="99"/>
      <c r="D50" s="100"/>
      <c r="E50" s="100"/>
      <c r="F50" s="100"/>
      <c r="G50" s="100"/>
      <c r="H50" s="100"/>
      <c r="I50" s="73"/>
      <c r="J50" s="74"/>
      <c r="K50" s="101"/>
      <c r="L50" s="101"/>
      <c r="M50" s="101"/>
    </row>
    <row r="51" spans="1:13" ht="15.5" x14ac:dyDescent="0.35">
      <c r="A51" s="98"/>
      <c r="B51" s="102"/>
      <c r="C51" s="103" t="s">
        <v>67</v>
      </c>
      <c r="D51" s="100"/>
      <c r="E51" s="100"/>
      <c r="F51" s="100"/>
      <c r="G51" s="100"/>
      <c r="H51" s="100"/>
      <c r="I51" s="73"/>
      <c r="J51" s="74"/>
      <c r="K51" s="101"/>
      <c r="L51" s="101"/>
      <c r="M51" s="101"/>
    </row>
    <row r="52" spans="1:13" ht="15.5" x14ac:dyDescent="0.35">
      <c r="A52" s="98"/>
      <c r="B52" s="328"/>
      <c r="C52" s="104" t="s">
        <v>68</v>
      </c>
      <c r="D52" s="100"/>
      <c r="E52" s="100"/>
      <c r="F52" s="100"/>
      <c r="G52" s="100"/>
      <c r="H52" s="100"/>
      <c r="I52" s="73"/>
      <c r="J52" s="74"/>
      <c r="K52" s="101"/>
      <c r="L52" s="101"/>
      <c r="M52" s="101"/>
    </row>
    <row r="53" spans="1:13" ht="15.5" x14ac:dyDescent="0.35">
      <c r="A53" s="98"/>
      <c r="B53" s="328"/>
      <c r="C53" s="104" t="s">
        <v>69</v>
      </c>
      <c r="D53" s="100"/>
      <c r="E53" s="100"/>
      <c r="F53" s="100"/>
      <c r="G53" s="100"/>
      <c r="H53" s="100"/>
      <c r="I53" s="73"/>
      <c r="J53" s="74"/>
      <c r="K53" s="101"/>
      <c r="L53" s="101"/>
      <c r="M53" s="101"/>
    </row>
    <row r="54" spans="1:13" ht="15.5" x14ac:dyDescent="0.35">
      <c r="A54" s="98"/>
      <c r="B54" s="328"/>
      <c r="C54" s="104" t="s">
        <v>70</v>
      </c>
      <c r="D54" s="100"/>
      <c r="E54" s="100"/>
      <c r="F54" s="100"/>
      <c r="G54" s="100"/>
      <c r="H54" s="100"/>
      <c r="I54" s="73"/>
      <c r="J54" s="74"/>
      <c r="K54" s="101"/>
      <c r="L54" s="101"/>
      <c r="M54" s="101"/>
    </row>
    <row r="55" spans="1:13" ht="15.5" x14ac:dyDescent="0.35">
      <c r="A55" s="98"/>
      <c r="B55" s="328"/>
      <c r="C55" s="105" t="s">
        <v>71</v>
      </c>
      <c r="D55" s="100"/>
      <c r="E55" s="100"/>
      <c r="F55" s="100"/>
      <c r="G55" s="100"/>
      <c r="H55" s="100"/>
      <c r="I55" s="73"/>
      <c r="J55" s="74"/>
      <c r="K55" s="101"/>
      <c r="L55" s="101"/>
      <c r="M55" s="101"/>
    </row>
    <row r="56" spans="1:13" ht="15.5" x14ac:dyDescent="0.35">
      <c r="A56" s="98"/>
      <c r="B56" s="328"/>
      <c r="C56" s="105" t="s">
        <v>72</v>
      </c>
      <c r="D56" s="100"/>
      <c r="E56" s="100"/>
      <c r="F56" s="100"/>
      <c r="G56" s="100"/>
      <c r="H56" s="100"/>
      <c r="I56" s="73"/>
      <c r="J56" s="74"/>
      <c r="K56" s="101"/>
      <c r="L56" s="101"/>
      <c r="M56" s="101"/>
    </row>
    <row r="57" spans="1:13" ht="15.5" x14ac:dyDescent="0.35">
      <c r="A57" s="98"/>
      <c r="B57" s="327"/>
      <c r="C57" s="136" t="s">
        <v>73</v>
      </c>
      <c r="D57" s="100"/>
      <c r="E57" s="100"/>
      <c r="F57" s="100"/>
      <c r="G57" s="100"/>
      <c r="H57" s="100"/>
      <c r="I57" s="73"/>
      <c r="J57" s="74"/>
      <c r="K57" s="101"/>
      <c r="L57" s="101"/>
      <c r="M57" s="101"/>
    </row>
    <row r="58" spans="1:13" ht="15.5" x14ac:dyDescent="0.35">
      <c r="A58" s="98"/>
      <c r="B58" s="327"/>
      <c r="C58" s="136" t="s">
        <v>74</v>
      </c>
      <c r="D58" s="100"/>
      <c r="E58" s="100"/>
      <c r="F58" s="100"/>
      <c r="G58" s="100"/>
      <c r="H58" s="100"/>
      <c r="I58" s="73"/>
      <c r="J58" s="74"/>
      <c r="K58" s="101"/>
      <c r="L58" s="101"/>
      <c r="M58" s="101"/>
    </row>
    <row r="59" spans="1:13" ht="15.5" x14ac:dyDescent="0.35">
      <c r="A59" s="98"/>
      <c r="B59" s="106"/>
      <c r="C59" s="104" t="s">
        <v>75</v>
      </c>
      <c r="D59" s="100"/>
      <c r="E59" s="100"/>
      <c r="F59" s="100"/>
      <c r="G59" s="100"/>
      <c r="H59" s="100"/>
      <c r="I59" s="73"/>
      <c r="J59" s="74"/>
      <c r="K59" s="101"/>
      <c r="L59" s="101"/>
      <c r="M59" s="101"/>
    </row>
    <row r="60" spans="1:13" ht="15.5" x14ac:dyDescent="0.35">
      <c r="A60" s="98"/>
      <c r="B60" s="106"/>
      <c r="C60" s="104" t="s">
        <v>76</v>
      </c>
      <c r="D60" s="100"/>
      <c r="E60" s="100"/>
      <c r="F60" s="100"/>
      <c r="G60" s="100"/>
      <c r="H60" s="100"/>
      <c r="I60" s="73"/>
      <c r="J60" s="74"/>
      <c r="K60" s="101"/>
      <c r="L60" s="101"/>
      <c r="M60" s="101"/>
    </row>
    <row r="61" spans="1:13" ht="15.5" x14ac:dyDescent="0.35">
      <c r="A61" s="98"/>
      <c r="B61" s="106"/>
      <c r="C61" s="105" t="s">
        <v>77</v>
      </c>
      <c r="D61" s="100"/>
      <c r="E61" s="100"/>
      <c r="F61" s="100"/>
      <c r="G61" s="100"/>
      <c r="H61" s="100"/>
      <c r="I61" s="73"/>
      <c r="J61" s="74"/>
      <c r="K61" s="101"/>
      <c r="L61" s="101"/>
      <c r="M61" s="101"/>
    </row>
    <row r="62" spans="1:13" ht="15.5" x14ac:dyDescent="0.35">
      <c r="A62" s="98"/>
      <c r="B62" s="328"/>
      <c r="C62" s="104" t="s">
        <v>78</v>
      </c>
      <c r="D62" s="100"/>
      <c r="E62" s="100"/>
      <c r="F62" s="100"/>
      <c r="G62" s="100"/>
      <c r="H62" s="100"/>
      <c r="I62" s="73"/>
      <c r="J62" s="74"/>
      <c r="K62" s="101"/>
      <c r="L62" s="101"/>
      <c r="M62" s="101"/>
    </row>
    <row r="63" spans="1:13" ht="15.5" x14ac:dyDescent="0.35">
      <c r="A63" s="98"/>
      <c r="B63" s="328"/>
      <c r="C63" s="104" t="s">
        <v>79</v>
      </c>
      <c r="D63" s="100"/>
      <c r="E63" s="100"/>
      <c r="F63" s="100"/>
      <c r="G63" s="100"/>
      <c r="H63" s="100"/>
      <c r="I63" s="73"/>
      <c r="J63" s="74"/>
      <c r="K63" s="101"/>
      <c r="L63" s="101"/>
      <c r="M63" s="101"/>
    </row>
    <row r="64" spans="1:13" ht="15.5" x14ac:dyDescent="0.35">
      <c r="A64" s="98"/>
      <c r="B64" s="328"/>
      <c r="C64" s="104" t="s">
        <v>80</v>
      </c>
      <c r="D64" s="100"/>
      <c r="E64" s="100"/>
      <c r="F64" s="100"/>
      <c r="G64" s="100"/>
      <c r="H64" s="100"/>
      <c r="I64" s="73"/>
      <c r="J64" s="74"/>
      <c r="K64" s="101"/>
      <c r="L64" s="101"/>
      <c r="M64" s="101"/>
    </row>
    <row r="65" spans="1:13" ht="15" customHeight="1" x14ac:dyDescent="0.35">
      <c r="A65" s="98"/>
      <c r="B65" s="66"/>
      <c r="C65" s="99"/>
      <c r="D65" s="100"/>
      <c r="E65" s="100"/>
      <c r="F65" s="100"/>
      <c r="G65" s="100"/>
      <c r="H65" s="100"/>
      <c r="I65" s="73"/>
      <c r="J65" s="74"/>
      <c r="K65" s="101"/>
      <c r="L65" s="101"/>
      <c r="M65" s="101"/>
    </row>
    <row r="66" spans="1:13" ht="15.5" x14ac:dyDescent="0.35">
      <c r="A66" s="71" t="s">
        <v>81</v>
      </c>
      <c r="B66" s="71" t="s">
        <v>82</v>
      </c>
      <c r="C66" s="66"/>
      <c r="I66" s="64"/>
      <c r="J66" s="65"/>
      <c r="K66" s="65"/>
    </row>
    <row r="67" spans="1:13" ht="15.5" x14ac:dyDescent="0.35">
      <c r="A67" s="66"/>
      <c r="B67" s="66" t="s">
        <v>83</v>
      </c>
      <c r="C67" s="66"/>
      <c r="E67" s="107"/>
      <c r="F67" s="107"/>
      <c r="G67" s="107"/>
      <c r="H67" s="107"/>
      <c r="J67" s="65"/>
      <c r="K67" s="65"/>
    </row>
    <row r="68" spans="1:13" ht="9" customHeight="1" x14ac:dyDescent="0.35">
      <c r="A68" s="66"/>
      <c r="B68" s="66"/>
      <c r="C68" s="66"/>
      <c r="E68" s="107"/>
      <c r="F68" s="107"/>
      <c r="G68" s="107"/>
      <c r="H68" s="107"/>
      <c r="J68" s="65"/>
      <c r="K68" s="65"/>
    </row>
    <row r="69" spans="1:13" ht="15.5" x14ac:dyDescent="0.35">
      <c r="A69" s="71" t="s">
        <v>84</v>
      </c>
      <c r="B69" s="71" t="s">
        <v>85</v>
      </c>
      <c r="C69" s="66"/>
      <c r="J69" s="65"/>
      <c r="K69" s="65"/>
      <c r="L69" s="108"/>
    </row>
    <row r="70" spans="1:13" ht="15.5" x14ac:dyDescent="0.35">
      <c r="A70" s="66"/>
      <c r="B70" s="110"/>
      <c r="C70" s="111"/>
      <c r="I70" s="64"/>
      <c r="J70" s="65"/>
      <c r="K70" s="65"/>
      <c r="L70" s="109"/>
    </row>
  </sheetData>
  <mergeCells count="25">
    <mergeCell ref="E36:I36"/>
    <mergeCell ref="A1:L1"/>
    <mergeCell ref="A2:L2"/>
    <mergeCell ref="L36:L37"/>
    <mergeCell ref="J23:K23"/>
    <mergeCell ref="K30:K31"/>
    <mergeCell ref="L30:L31"/>
    <mergeCell ref="H23:I23"/>
    <mergeCell ref="C23:G23"/>
    <mergeCell ref="B38:B42"/>
    <mergeCell ref="C38:C42"/>
    <mergeCell ref="J38:J42"/>
    <mergeCell ref="M30:N31"/>
    <mergeCell ref="B32:B33"/>
    <mergeCell ref="B30:B31"/>
    <mergeCell ref="B36:B37"/>
    <mergeCell ref="C36:C37"/>
    <mergeCell ref="J36:J37"/>
    <mergeCell ref="C30:C31"/>
    <mergeCell ref="D30:D31"/>
    <mergeCell ref="E30:I30"/>
    <mergeCell ref="J30:J31"/>
    <mergeCell ref="J32:J33"/>
    <mergeCell ref="C32:C33"/>
    <mergeCell ref="D36:D37"/>
  </mergeCells>
  <printOptions horizontalCentered="1"/>
  <pageMargins left="0.196850393700787" right="0.196850393700787" top="0.39370078740157499" bottom="0.39370078740157499" header="0.23622047244094499" footer="0.31496062992126"/>
  <pageSetup paperSize="9" scale="65" orientation="portrait" horizontalDpi="4294967294" verticalDpi="4294967293" r:id="rId1"/>
  <headerFooter>
    <oddHeader>&amp;R&amp;"-,Regular"&amp;8FV.LK 14 / REV : 0</oddHeader>
    <oddFooter>&amp;R&amp;8&amp;K00-034Software 2018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0000"/>
  </sheetPr>
  <dimension ref="A1:AU260"/>
  <sheetViews>
    <sheetView topLeftCell="A236" zoomScaleNormal="100" workbookViewId="0">
      <selection activeCell="B241" sqref="B241"/>
    </sheetView>
  </sheetViews>
  <sheetFormatPr defaultColWidth="9.1796875" defaultRowHeight="13" x14ac:dyDescent="0.3"/>
  <cols>
    <col min="1" max="1" width="9.54296875" style="39" customWidth="1"/>
    <col min="2" max="2" width="10.54296875" style="39" customWidth="1"/>
    <col min="3" max="3" width="11" style="39" customWidth="1"/>
    <col min="4" max="4" width="10.54296875" style="39" customWidth="1"/>
    <col min="5" max="5" width="10.453125" style="39" customWidth="1"/>
    <col min="6" max="6" width="10.54296875" style="39" customWidth="1"/>
    <col min="7" max="7" width="8" style="39" bestFit="1" customWidth="1"/>
    <col min="8" max="8" width="9.54296875" style="39" customWidth="1"/>
    <col min="9" max="9" width="10.54296875" style="39" customWidth="1"/>
    <col min="10" max="10" width="11.1796875" style="39" customWidth="1"/>
    <col min="11" max="11" width="12.453125" style="39" bestFit="1" customWidth="1"/>
    <col min="12" max="12" width="10.54296875" style="39" customWidth="1"/>
    <col min="13" max="13" width="10.81640625" style="39" bestFit="1" customWidth="1"/>
    <col min="14" max="14" width="8.54296875" style="39" customWidth="1"/>
    <col min="15" max="15" width="9.54296875" style="39" customWidth="1"/>
    <col min="16" max="16" width="10.54296875" style="39" customWidth="1"/>
    <col min="17" max="17" width="11.1796875" style="39" customWidth="1"/>
    <col min="18" max="18" width="8.54296875" style="39" customWidth="1"/>
    <col min="19" max="20" width="10.54296875" style="39" customWidth="1"/>
    <col min="21" max="21" width="9.1796875" style="39"/>
    <col min="22" max="22" width="9.54296875" style="39" customWidth="1"/>
    <col min="23" max="23" width="10.54296875" style="39" customWidth="1"/>
    <col min="24" max="24" width="11.1796875" style="39" customWidth="1"/>
    <col min="25" max="25" width="8.54296875" style="39" customWidth="1"/>
    <col min="26" max="27" width="10.54296875" style="39" customWidth="1"/>
    <col min="28" max="16384" width="9.1796875" style="39"/>
  </cols>
  <sheetData>
    <row r="1" spans="1:27" ht="30" customHeight="1" x14ac:dyDescent="0.3">
      <c r="A1" s="1149" t="s">
        <v>269</v>
      </c>
      <c r="B1" s="1150"/>
      <c r="C1" s="1150"/>
      <c r="D1" s="1150"/>
      <c r="E1" s="1150"/>
      <c r="F1" s="1150"/>
      <c r="G1" s="1150"/>
      <c r="H1" s="1150"/>
      <c r="I1" s="1150"/>
      <c r="J1" s="1150"/>
      <c r="K1" s="1150"/>
      <c r="L1" s="1150"/>
      <c r="M1" s="1150"/>
      <c r="N1" s="1150"/>
      <c r="O1" s="1150"/>
      <c r="P1" s="1150"/>
      <c r="Q1" s="1150"/>
      <c r="R1" s="1150"/>
      <c r="S1" s="1150"/>
      <c r="T1" s="1150"/>
      <c r="U1" s="686"/>
      <c r="V1" s="687"/>
      <c r="W1" s="687"/>
      <c r="X1" s="687"/>
      <c r="Y1" s="687"/>
      <c r="Z1" s="40"/>
    </row>
    <row r="2" spans="1:27" ht="15" customHeight="1" x14ac:dyDescent="0.3">
      <c r="A2" s="1151" t="s">
        <v>270</v>
      </c>
      <c r="B2" s="1151"/>
      <c r="C2" s="1151"/>
      <c r="D2" s="1151"/>
      <c r="E2" s="1134" t="s">
        <v>176</v>
      </c>
      <c r="F2" s="1144" t="s">
        <v>282</v>
      </c>
      <c r="G2" s="259"/>
      <c r="H2" s="1148" t="s">
        <v>273</v>
      </c>
      <c r="I2" s="1148"/>
      <c r="J2" s="1148"/>
      <c r="K2" s="1148"/>
      <c r="L2" s="1134" t="s">
        <v>176</v>
      </c>
      <c r="M2" s="1144" t="s">
        <v>282</v>
      </c>
      <c r="N2" s="259"/>
      <c r="O2" s="1148" t="s">
        <v>281</v>
      </c>
      <c r="P2" s="1148"/>
      <c r="Q2" s="1148"/>
      <c r="R2" s="1148"/>
      <c r="S2" s="1145" t="s">
        <v>176</v>
      </c>
      <c r="T2" s="1144" t="s">
        <v>282</v>
      </c>
      <c r="U2" s="686"/>
      <c r="V2" s="1131">
        <v>13</v>
      </c>
      <c r="W2" s="1132"/>
      <c r="X2" s="1132"/>
      <c r="Y2" s="1133"/>
      <c r="Z2" s="1134" t="s">
        <v>176</v>
      </c>
      <c r="AA2" s="1137" t="s">
        <v>271</v>
      </c>
    </row>
    <row r="3" spans="1:27" ht="30" customHeight="1" x14ac:dyDescent="0.3">
      <c r="A3" s="688" t="s">
        <v>274</v>
      </c>
      <c r="B3" s="1145" t="s">
        <v>175</v>
      </c>
      <c r="C3" s="1145"/>
      <c r="D3" s="1145"/>
      <c r="E3" s="1135"/>
      <c r="F3" s="1144"/>
      <c r="G3" s="259"/>
      <c r="H3" s="688" t="s">
        <v>274</v>
      </c>
      <c r="I3" s="1145" t="s">
        <v>175</v>
      </c>
      <c r="J3" s="1145"/>
      <c r="K3" s="1145"/>
      <c r="L3" s="1135"/>
      <c r="M3" s="1144"/>
      <c r="N3" s="259"/>
      <c r="O3" s="688" t="s">
        <v>274</v>
      </c>
      <c r="P3" s="1145" t="s">
        <v>175</v>
      </c>
      <c r="Q3" s="1145"/>
      <c r="R3" s="1145"/>
      <c r="S3" s="1145"/>
      <c r="T3" s="1144"/>
      <c r="U3" s="686"/>
      <c r="V3" s="688" t="s">
        <v>274</v>
      </c>
      <c r="W3" s="1140" t="s">
        <v>175</v>
      </c>
      <c r="X3" s="1141"/>
      <c r="Y3" s="1142"/>
      <c r="Z3" s="1135"/>
      <c r="AA3" s="1138"/>
    </row>
    <row r="4" spans="1:27" ht="14" x14ac:dyDescent="0.3">
      <c r="A4" s="689" t="s">
        <v>275</v>
      </c>
      <c r="B4" s="690">
        <v>2018</v>
      </c>
      <c r="C4" s="691">
        <v>2015</v>
      </c>
      <c r="D4" s="691" t="s">
        <v>180</v>
      </c>
      <c r="E4" s="1136"/>
      <c r="F4" s="1144"/>
      <c r="G4" s="259"/>
      <c r="H4" s="689" t="s">
        <v>275</v>
      </c>
      <c r="I4" s="690">
        <v>2019</v>
      </c>
      <c r="J4" s="690" t="s">
        <v>180</v>
      </c>
      <c r="K4" s="691" t="s">
        <v>180</v>
      </c>
      <c r="L4" s="1136"/>
      <c r="M4" s="1144"/>
      <c r="N4" s="259"/>
      <c r="O4" s="689" t="s">
        <v>275</v>
      </c>
      <c r="P4" s="690">
        <v>2020</v>
      </c>
      <c r="Q4" s="691" t="s">
        <v>180</v>
      </c>
      <c r="R4" s="690" t="s">
        <v>180</v>
      </c>
      <c r="S4" s="1145"/>
      <c r="T4" s="1144"/>
      <c r="U4" s="686"/>
      <c r="V4" s="689" t="s">
        <v>275</v>
      </c>
      <c r="W4" s="690" t="s">
        <v>180</v>
      </c>
      <c r="X4" s="691" t="s">
        <v>180</v>
      </c>
      <c r="Y4" s="690" t="s">
        <v>180</v>
      </c>
      <c r="Z4" s="1136"/>
      <c r="AA4" s="1139"/>
    </row>
    <row r="5" spans="1:27" ht="14" x14ac:dyDescent="0.3">
      <c r="A5" s="516">
        <v>9.9999999999999995E-7</v>
      </c>
      <c r="B5" s="692">
        <v>9.9999999999999995E-7</v>
      </c>
      <c r="C5" s="692">
        <v>9.9999999999999995E-7</v>
      </c>
      <c r="D5" s="692" t="s">
        <v>180</v>
      </c>
      <c r="E5" s="692">
        <v>9.9999999999999995E-7</v>
      </c>
      <c r="F5" s="692">
        <v>1.9E-2</v>
      </c>
      <c r="G5" s="168"/>
      <c r="H5" s="516">
        <v>9.9999999999999995E-7</v>
      </c>
      <c r="I5" s="692">
        <v>9.9999999999999995E-7</v>
      </c>
      <c r="J5" s="692" t="s">
        <v>180</v>
      </c>
      <c r="K5" s="692" t="s">
        <v>180</v>
      </c>
      <c r="L5" s="692">
        <v>9.9999999999999995E-7</v>
      </c>
      <c r="M5" s="692">
        <v>9.9999999999999995E-7</v>
      </c>
      <c r="N5" s="259"/>
      <c r="O5" s="516">
        <v>0</v>
      </c>
      <c r="P5" s="692">
        <v>0</v>
      </c>
      <c r="Q5" s="692" t="s">
        <v>180</v>
      </c>
      <c r="R5" s="692" t="s">
        <v>180</v>
      </c>
      <c r="S5" s="692">
        <v>9.9999999999999995E-7</v>
      </c>
      <c r="T5" s="692">
        <v>9.9999999999999995E-7</v>
      </c>
      <c r="U5" s="686"/>
      <c r="V5" s="516">
        <v>9.9999999999999995E-7</v>
      </c>
      <c r="W5" s="693" t="s">
        <v>180</v>
      </c>
      <c r="X5" s="693" t="s">
        <v>180</v>
      </c>
      <c r="Y5" s="693" t="s">
        <v>180</v>
      </c>
      <c r="Z5" s="692">
        <v>9.9999999999999995E-7</v>
      </c>
      <c r="AA5" s="692">
        <v>9.9999999999999995E-7</v>
      </c>
    </row>
    <row r="6" spans="1:27" ht="14" x14ac:dyDescent="0.3">
      <c r="A6" s="516">
        <v>10.02</v>
      </c>
      <c r="B6" s="692">
        <v>0.02</v>
      </c>
      <c r="C6" s="692">
        <v>9.9999999999999995E-7</v>
      </c>
      <c r="D6" s="692" t="s">
        <v>180</v>
      </c>
      <c r="E6" s="694">
        <f>0.5*(MAX(B6:D6)-MIN(B6:D6))</f>
        <v>9.9994999999999997E-3</v>
      </c>
      <c r="F6" s="692">
        <v>1.9E-2</v>
      </c>
      <c r="G6" s="259"/>
      <c r="H6" s="516">
        <v>1.97</v>
      </c>
      <c r="I6" s="692">
        <v>-0.01</v>
      </c>
      <c r="J6" s="692" t="s">
        <v>180</v>
      </c>
      <c r="K6" s="692" t="s">
        <v>180</v>
      </c>
      <c r="L6" s="694">
        <f t="shared" ref="L6:L10" si="0">0.5*(MAX(I6:K6)-MIN(I6:K6))</f>
        <v>0</v>
      </c>
      <c r="M6" s="692">
        <v>2.2735999999999999E-2</v>
      </c>
      <c r="N6" s="259"/>
      <c r="O6" s="516">
        <v>1.04</v>
      </c>
      <c r="P6" s="692">
        <v>0.01</v>
      </c>
      <c r="Q6" s="692" t="s">
        <v>180</v>
      </c>
      <c r="R6" s="692" t="s">
        <v>180</v>
      </c>
      <c r="S6" s="694">
        <f t="shared" ref="S6:S10" si="1">0.5*(MAX(P6:R6)-MIN(P6:R6))</f>
        <v>0</v>
      </c>
      <c r="T6" s="692">
        <v>1.2285000000000001E-2</v>
      </c>
      <c r="U6" s="686"/>
      <c r="V6" s="516">
        <v>9.9999999999999995E-7</v>
      </c>
      <c r="W6" s="693" t="s">
        <v>180</v>
      </c>
      <c r="X6" s="693" t="s">
        <v>180</v>
      </c>
      <c r="Y6" s="693" t="s">
        <v>180</v>
      </c>
      <c r="Z6" s="694">
        <f t="shared" ref="Z6:Z9" si="2">0.5*(MAX(W6:Y6)-MIN(W6:Y6))</f>
        <v>0</v>
      </c>
      <c r="AA6" s="692">
        <v>9.9999999999999995E-7</v>
      </c>
    </row>
    <row r="7" spans="1:27" ht="14" x14ac:dyDescent="0.3">
      <c r="A7" s="516">
        <v>19.96</v>
      </c>
      <c r="B7" s="692">
        <v>0.06</v>
      </c>
      <c r="C7" s="692">
        <v>9.9999999999999995E-7</v>
      </c>
      <c r="D7" s="692" t="s">
        <v>180</v>
      </c>
      <c r="E7" s="694">
        <f t="shared" ref="E7:E10" si="3">0.5*(MAX(B7:D7)-MIN(B7:D7))</f>
        <v>2.9999499999999998E-2</v>
      </c>
      <c r="F7" s="692">
        <v>1.9E-2</v>
      </c>
      <c r="G7" s="259"/>
      <c r="H7" s="516">
        <v>7.97</v>
      </c>
      <c r="I7" s="692">
        <v>9.9999999999999995E-7</v>
      </c>
      <c r="J7" s="692" t="s">
        <v>180</v>
      </c>
      <c r="K7" s="692" t="s">
        <v>180</v>
      </c>
      <c r="L7" s="694">
        <f t="shared" si="0"/>
        <v>0</v>
      </c>
      <c r="M7" s="692">
        <v>9.2452000000000006E-2</v>
      </c>
      <c r="N7" s="259"/>
      <c r="O7" s="516">
        <v>8.2100000000000009</v>
      </c>
      <c r="P7" s="692">
        <v>0.02</v>
      </c>
      <c r="Q7" s="692" t="s">
        <v>180</v>
      </c>
      <c r="R7" s="692" t="s">
        <v>180</v>
      </c>
      <c r="S7" s="694">
        <f t="shared" si="1"/>
        <v>0</v>
      </c>
      <c r="T7" s="692">
        <v>9.6291000000000002E-2</v>
      </c>
      <c r="U7" s="686"/>
      <c r="V7" s="516">
        <v>9.9999999999999995E-7</v>
      </c>
      <c r="W7" s="693" t="s">
        <v>180</v>
      </c>
      <c r="X7" s="693" t="s">
        <v>180</v>
      </c>
      <c r="Y7" s="693" t="s">
        <v>180</v>
      </c>
      <c r="Z7" s="694">
        <f t="shared" si="2"/>
        <v>0</v>
      </c>
      <c r="AA7" s="692">
        <v>9.9999999999999995E-7</v>
      </c>
    </row>
    <row r="8" spans="1:27" ht="14" x14ac:dyDescent="0.3">
      <c r="A8" s="516">
        <v>30.1</v>
      </c>
      <c r="B8" s="692">
        <v>0.1</v>
      </c>
      <c r="C8" s="692">
        <v>9.9999999999999995E-7</v>
      </c>
      <c r="D8" s="692" t="s">
        <v>180</v>
      </c>
      <c r="E8" s="694">
        <f t="shared" si="3"/>
        <v>4.9999500000000002E-2</v>
      </c>
      <c r="F8" s="692">
        <v>1.9E-2</v>
      </c>
      <c r="G8" s="259"/>
      <c r="H8" s="516">
        <v>19.829999999999998</v>
      </c>
      <c r="I8" s="692">
        <v>0.06</v>
      </c>
      <c r="J8" s="692" t="s">
        <v>180</v>
      </c>
      <c r="K8" s="692" t="s">
        <v>180</v>
      </c>
      <c r="L8" s="694">
        <f t="shared" si="0"/>
        <v>0</v>
      </c>
      <c r="M8" s="692">
        <v>0.23072400000000001</v>
      </c>
      <c r="N8" s="259"/>
      <c r="O8" s="516">
        <v>17.920000000000002</v>
      </c>
      <c r="P8" s="692">
        <v>7.0000000000000007E-2</v>
      </c>
      <c r="Q8" s="692" t="s">
        <v>180</v>
      </c>
      <c r="R8" s="692" t="s">
        <v>180</v>
      </c>
      <c r="S8" s="694">
        <f t="shared" si="1"/>
        <v>0</v>
      </c>
      <c r="T8" s="692">
        <v>0.210483</v>
      </c>
      <c r="U8" s="686"/>
      <c r="V8" s="516">
        <v>9.9999999999999995E-7</v>
      </c>
      <c r="W8" s="693" t="s">
        <v>180</v>
      </c>
      <c r="X8" s="693" t="s">
        <v>180</v>
      </c>
      <c r="Y8" s="693" t="s">
        <v>180</v>
      </c>
      <c r="Z8" s="694">
        <f t="shared" si="2"/>
        <v>0</v>
      </c>
      <c r="AA8" s="692">
        <v>9.9999999999999995E-7</v>
      </c>
    </row>
    <row r="9" spans="1:27" ht="14" x14ac:dyDescent="0.3">
      <c r="A9" s="516">
        <v>51.11</v>
      </c>
      <c r="B9" s="692">
        <v>0.11</v>
      </c>
      <c r="C9" s="693">
        <v>0.31</v>
      </c>
      <c r="D9" s="693" t="s">
        <v>180</v>
      </c>
      <c r="E9" s="694">
        <f t="shared" si="3"/>
        <v>0.1</v>
      </c>
      <c r="F9" s="692">
        <v>1.9E-2</v>
      </c>
      <c r="G9" s="259"/>
      <c r="H9" s="516">
        <v>50.06</v>
      </c>
      <c r="I9" s="692">
        <v>-0.28000000000000003</v>
      </c>
      <c r="J9" s="692" t="s">
        <v>180</v>
      </c>
      <c r="K9" s="692" t="s">
        <v>180</v>
      </c>
      <c r="L9" s="694">
        <f t="shared" si="0"/>
        <v>0</v>
      </c>
      <c r="M9" s="692">
        <v>0.37545000000000001</v>
      </c>
      <c r="N9" s="259"/>
      <c r="O9" s="516">
        <v>19.93</v>
      </c>
      <c r="P9" s="692">
        <v>0.02</v>
      </c>
      <c r="Q9" s="692" t="s">
        <v>180</v>
      </c>
      <c r="R9" s="692" t="s">
        <v>180</v>
      </c>
      <c r="S9" s="694">
        <f t="shared" si="1"/>
        <v>0</v>
      </c>
      <c r="T9" s="692">
        <v>0.23341500000000001</v>
      </c>
      <c r="U9" s="686"/>
      <c r="V9" s="516">
        <v>9.9999999999999995E-7</v>
      </c>
      <c r="W9" s="693" t="s">
        <v>180</v>
      </c>
      <c r="X9" s="693" t="s">
        <v>180</v>
      </c>
      <c r="Y9" s="693" t="s">
        <v>180</v>
      </c>
      <c r="Z9" s="694">
        <f t="shared" si="2"/>
        <v>0</v>
      </c>
      <c r="AA9" s="692">
        <v>9.9999999999999995E-7</v>
      </c>
    </row>
    <row r="10" spans="1:27" ht="14" x14ac:dyDescent="0.3">
      <c r="A10" s="516">
        <v>103.4</v>
      </c>
      <c r="B10" s="692">
        <v>0</v>
      </c>
      <c r="C10" s="693">
        <v>0</v>
      </c>
      <c r="D10" s="693" t="s">
        <v>180</v>
      </c>
      <c r="E10" s="694">
        <f t="shared" si="3"/>
        <v>0</v>
      </c>
      <c r="F10" s="692">
        <v>1.9E-2</v>
      </c>
      <c r="G10" s="259"/>
      <c r="H10" s="516">
        <v>80.13</v>
      </c>
      <c r="I10" s="692">
        <v>0</v>
      </c>
      <c r="J10" s="692" t="s">
        <v>180</v>
      </c>
      <c r="K10" s="692" t="s">
        <v>180</v>
      </c>
      <c r="L10" s="694">
        <f t="shared" si="0"/>
        <v>0</v>
      </c>
      <c r="M10" s="692">
        <v>0.60097500000000004</v>
      </c>
      <c r="N10" s="259"/>
      <c r="O10" s="516">
        <v>90.96</v>
      </c>
      <c r="P10" s="692">
        <v>0.09</v>
      </c>
      <c r="Q10" s="692" t="s">
        <v>180</v>
      </c>
      <c r="R10" s="692" t="s">
        <v>180</v>
      </c>
      <c r="S10" s="694">
        <f t="shared" si="1"/>
        <v>0</v>
      </c>
      <c r="T10" s="692">
        <v>1.065285</v>
      </c>
      <c r="U10" s="686"/>
      <c r="V10" s="516">
        <v>10</v>
      </c>
      <c r="W10" s="693" t="s">
        <v>180</v>
      </c>
      <c r="X10" s="693" t="s">
        <v>180</v>
      </c>
      <c r="Y10" s="693" t="s">
        <v>180</v>
      </c>
      <c r="Z10" s="694">
        <f>0.5*(MAX(W10:Y10)-MIN(W10:Y10))</f>
        <v>0</v>
      </c>
      <c r="AA10" s="692">
        <v>9.9999999999999995E-7</v>
      </c>
    </row>
    <row r="11" spans="1:27" ht="14" x14ac:dyDescent="0.3">
      <c r="A11" s="259"/>
      <c r="B11" s="259"/>
      <c r="C11" s="259"/>
      <c r="D11" s="259"/>
      <c r="E11" s="259"/>
      <c r="F11" s="259"/>
      <c r="G11" s="259"/>
      <c r="H11" s="259"/>
      <c r="I11" s="259"/>
      <c r="J11" s="259"/>
      <c r="K11" s="259"/>
      <c r="L11" s="259"/>
      <c r="M11" s="259"/>
      <c r="N11" s="259"/>
      <c r="O11" s="259"/>
      <c r="P11" s="519"/>
      <c r="Q11" s="519"/>
      <c r="R11" s="259"/>
      <c r="S11" s="259"/>
      <c r="T11" s="259"/>
      <c r="U11" s="686"/>
      <c r="V11" s="40"/>
      <c r="W11" s="40"/>
      <c r="X11" s="40"/>
      <c r="Y11" s="40"/>
      <c r="Z11" s="40"/>
    </row>
    <row r="12" spans="1:27" ht="15" customHeight="1" x14ac:dyDescent="0.3">
      <c r="A12" s="1148" t="s">
        <v>276</v>
      </c>
      <c r="B12" s="1148"/>
      <c r="C12" s="1148"/>
      <c r="D12" s="1148"/>
      <c r="E12" s="1134" t="s">
        <v>176</v>
      </c>
      <c r="F12" s="1144" t="s">
        <v>282</v>
      </c>
      <c r="G12" s="259"/>
      <c r="H12" s="1148" t="s">
        <v>278</v>
      </c>
      <c r="I12" s="1148"/>
      <c r="J12" s="1148"/>
      <c r="K12" s="1148"/>
      <c r="L12" s="1145" t="s">
        <v>176</v>
      </c>
      <c r="M12" s="1144" t="s">
        <v>282</v>
      </c>
      <c r="N12" s="259"/>
      <c r="O12" s="1148" t="s">
        <v>349</v>
      </c>
      <c r="P12" s="1148"/>
      <c r="Q12" s="1148"/>
      <c r="R12" s="1148"/>
      <c r="S12" s="1145" t="s">
        <v>176</v>
      </c>
      <c r="T12" s="1144" t="s">
        <v>282</v>
      </c>
      <c r="U12" s="686"/>
      <c r="V12" s="1131">
        <v>14</v>
      </c>
      <c r="W12" s="1132"/>
      <c r="X12" s="1132"/>
      <c r="Y12" s="1133"/>
      <c r="Z12" s="1134" t="s">
        <v>176</v>
      </c>
      <c r="AA12" s="1137" t="s">
        <v>271</v>
      </c>
    </row>
    <row r="13" spans="1:27" ht="30" customHeight="1" x14ac:dyDescent="0.3">
      <c r="A13" s="688" t="s">
        <v>274</v>
      </c>
      <c r="B13" s="1145" t="s">
        <v>175</v>
      </c>
      <c r="C13" s="1145"/>
      <c r="D13" s="1145"/>
      <c r="E13" s="1135"/>
      <c r="F13" s="1144"/>
      <c r="G13" s="259"/>
      <c r="H13" s="688" t="s">
        <v>274</v>
      </c>
      <c r="I13" s="1145" t="s">
        <v>175</v>
      </c>
      <c r="J13" s="1145"/>
      <c r="K13" s="1145"/>
      <c r="L13" s="1145"/>
      <c r="M13" s="1144"/>
      <c r="N13" s="259"/>
      <c r="O13" s="688" t="s">
        <v>274</v>
      </c>
      <c r="P13" s="1145" t="s">
        <v>175</v>
      </c>
      <c r="Q13" s="1145"/>
      <c r="R13" s="1145"/>
      <c r="S13" s="1145"/>
      <c r="T13" s="1144"/>
      <c r="U13" s="686"/>
      <c r="V13" s="688" t="s">
        <v>274</v>
      </c>
      <c r="W13" s="1140" t="s">
        <v>175</v>
      </c>
      <c r="X13" s="1141"/>
      <c r="Y13" s="1142"/>
      <c r="Z13" s="1135"/>
      <c r="AA13" s="1138"/>
    </row>
    <row r="14" spans="1:27" ht="14.5" x14ac:dyDescent="0.3">
      <c r="A14" s="689" t="s">
        <v>275</v>
      </c>
      <c r="B14" s="690">
        <v>2017</v>
      </c>
      <c r="C14" s="690" t="s">
        <v>180</v>
      </c>
      <c r="D14" s="691" t="s">
        <v>180</v>
      </c>
      <c r="E14" s="1136"/>
      <c r="F14" s="1144"/>
      <c r="G14" s="259"/>
      <c r="H14" s="689" t="s">
        <v>275</v>
      </c>
      <c r="I14" s="690">
        <v>2019</v>
      </c>
      <c r="J14" s="690" t="s">
        <v>180</v>
      </c>
      <c r="K14" s="691" t="s">
        <v>180</v>
      </c>
      <c r="L14" s="1145"/>
      <c r="M14" s="1144"/>
      <c r="N14" s="259"/>
      <c r="O14" s="689" t="s">
        <v>275</v>
      </c>
      <c r="P14" s="515">
        <v>2022</v>
      </c>
      <c r="Q14" s="691" t="s">
        <v>180</v>
      </c>
      <c r="R14" s="690" t="s">
        <v>180</v>
      </c>
      <c r="S14" s="1145"/>
      <c r="T14" s="1144"/>
      <c r="U14" s="686"/>
      <c r="V14" s="689" t="s">
        <v>275</v>
      </c>
      <c r="W14" s="690" t="s">
        <v>180</v>
      </c>
      <c r="X14" s="691" t="s">
        <v>180</v>
      </c>
      <c r="Y14" s="690" t="s">
        <v>180</v>
      </c>
      <c r="Z14" s="1136"/>
      <c r="AA14" s="1139"/>
    </row>
    <row r="15" spans="1:27" ht="14" x14ac:dyDescent="0.3">
      <c r="A15" s="516">
        <v>9.9999999999999995E-7</v>
      </c>
      <c r="B15" s="692">
        <v>9.9999999999999995E-7</v>
      </c>
      <c r="C15" s="692" t="s">
        <v>180</v>
      </c>
      <c r="D15" s="692" t="s">
        <v>180</v>
      </c>
      <c r="E15" s="692">
        <v>9.9999999999999995E-7</v>
      </c>
      <c r="F15" s="692">
        <v>0.02</v>
      </c>
      <c r="G15" s="168"/>
      <c r="H15" s="516">
        <v>9.9999999999999995E-7</v>
      </c>
      <c r="I15" s="692">
        <v>9.9999999999999995E-7</v>
      </c>
      <c r="J15" s="692" t="s">
        <v>180</v>
      </c>
      <c r="K15" s="692" t="s">
        <v>180</v>
      </c>
      <c r="L15" s="692">
        <v>9.9999999999999995E-7</v>
      </c>
      <c r="M15" s="692">
        <v>9.9999999999999995E-7</v>
      </c>
      <c r="N15" s="259"/>
      <c r="O15" s="516">
        <v>9.9999999999999995E-7</v>
      </c>
      <c r="P15" s="518">
        <v>9.9999999999999995E-7</v>
      </c>
      <c r="Q15" s="693" t="s">
        <v>180</v>
      </c>
      <c r="R15" s="693" t="s">
        <v>180</v>
      </c>
      <c r="S15" s="692">
        <v>9.9999999999999995E-7</v>
      </c>
      <c r="T15" s="517">
        <v>0.08</v>
      </c>
      <c r="U15" s="686"/>
      <c r="V15" s="516">
        <v>9.9999999999999995E-7</v>
      </c>
      <c r="W15" s="693" t="s">
        <v>180</v>
      </c>
      <c r="X15" s="693" t="s">
        <v>180</v>
      </c>
      <c r="Y15" s="693" t="s">
        <v>180</v>
      </c>
      <c r="Z15" s="692">
        <v>9.9999999999999995E-7</v>
      </c>
      <c r="AA15" s="692">
        <v>9.9999999999999995E-7</v>
      </c>
    </row>
    <row r="16" spans="1:27" ht="14" x14ac:dyDescent="0.3">
      <c r="A16" s="516">
        <v>10.14</v>
      </c>
      <c r="B16" s="692">
        <v>0.04</v>
      </c>
      <c r="C16" s="692" t="s">
        <v>180</v>
      </c>
      <c r="D16" s="692" t="s">
        <v>180</v>
      </c>
      <c r="E16" s="694">
        <f>0.5*(MAX(B16:D16)-MIN(B16:D16))</f>
        <v>0</v>
      </c>
      <c r="F16" s="692">
        <v>0.02</v>
      </c>
      <c r="G16" s="259"/>
      <c r="H16" s="516">
        <v>1.97</v>
      </c>
      <c r="I16" s="692">
        <v>-0.01</v>
      </c>
      <c r="J16" s="692" t="s">
        <v>180</v>
      </c>
      <c r="K16" s="692" t="s">
        <v>180</v>
      </c>
      <c r="L16" s="694">
        <f t="shared" ref="L16:L20" si="4">0.5*(MAX(I16:K16)-MIN(I16:K16))</f>
        <v>0</v>
      </c>
      <c r="M16" s="692">
        <v>2.2735999999999999E-2</v>
      </c>
      <c r="N16" s="259"/>
      <c r="O16" s="516">
        <v>1.98</v>
      </c>
      <c r="P16" s="518">
        <v>9.9999999999999995E-7</v>
      </c>
      <c r="Q16" s="693" t="s">
        <v>180</v>
      </c>
      <c r="R16" s="693" t="s">
        <v>180</v>
      </c>
      <c r="S16" s="694">
        <f t="shared" ref="S16:S20" si="5">0.5*(MAX(P16:R16)-MIN(P16:R16))</f>
        <v>0</v>
      </c>
      <c r="T16" s="517">
        <v>0.11</v>
      </c>
      <c r="U16" s="686"/>
      <c r="V16" s="516">
        <v>9.9999999999999995E-7</v>
      </c>
      <c r="W16" s="693" t="s">
        <v>180</v>
      </c>
      <c r="X16" s="693" t="s">
        <v>180</v>
      </c>
      <c r="Y16" s="693" t="s">
        <v>180</v>
      </c>
      <c r="Z16" s="694">
        <f t="shared" ref="Z16:Z19" si="6">0.5*(MAX(W16:Y16)-MIN(W16:Y16))</f>
        <v>0</v>
      </c>
      <c r="AA16" s="692">
        <v>9.9999999999999995E-7</v>
      </c>
    </row>
    <row r="17" spans="1:47" ht="14" x14ac:dyDescent="0.3">
      <c r="A17" s="516">
        <v>15.22</v>
      </c>
      <c r="B17" s="692">
        <v>0.12</v>
      </c>
      <c r="C17" s="692" t="s">
        <v>180</v>
      </c>
      <c r="D17" s="692" t="s">
        <v>180</v>
      </c>
      <c r="E17" s="694">
        <f t="shared" ref="E17:E20" si="7">0.5*(MAX(B17:D17)-MIN(B17:D17))</f>
        <v>0</v>
      </c>
      <c r="F17" s="692">
        <v>0.02</v>
      </c>
      <c r="G17" s="259"/>
      <c r="H17" s="516">
        <v>7.97</v>
      </c>
      <c r="I17" s="692">
        <v>0.02</v>
      </c>
      <c r="J17" s="692" t="s">
        <v>180</v>
      </c>
      <c r="K17" s="692" t="s">
        <v>180</v>
      </c>
      <c r="L17" s="694">
        <f t="shared" si="4"/>
        <v>0</v>
      </c>
      <c r="M17" s="692">
        <v>9.2452000000000006E-2</v>
      </c>
      <c r="N17" s="259"/>
      <c r="O17" s="516">
        <v>2.97</v>
      </c>
      <c r="P17" s="518">
        <v>9.9999999999999995E-7</v>
      </c>
      <c r="Q17" s="693" t="s">
        <v>180</v>
      </c>
      <c r="R17" s="693" t="s">
        <v>180</v>
      </c>
      <c r="S17" s="694">
        <f t="shared" si="5"/>
        <v>0</v>
      </c>
      <c r="T17" s="517">
        <v>0.12</v>
      </c>
      <c r="U17" s="686"/>
      <c r="V17" s="516">
        <v>9.9999999999999995E-7</v>
      </c>
      <c r="W17" s="693" t="s">
        <v>180</v>
      </c>
      <c r="X17" s="693" t="s">
        <v>180</v>
      </c>
      <c r="Y17" s="693" t="s">
        <v>180</v>
      </c>
      <c r="Z17" s="694">
        <f>0.5*(MAX(W17:Y17)-MIN(W17:Y17))</f>
        <v>0</v>
      </c>
      <c r="AA17" s="692">
        <v>9.9999999999999995E-7</v>
      </c>
    </row>
    <row r="18" spans="1:47" ht="14" x14ac:dyDescent="0.3">
      <c r="A18" s="516">
        <v>20.440000000000001</v>
      </c>
      <c r="B18" s="692">
        <v>0.24</v>
      </c>
      <c r="C18" s="692" t="s">
        <v>180</v>
      </c>
      <c r="D18" s="692" t="s">
        <v>180</v>
      </c>
      <c r="E18" s="694">
        <f t="shared" si="7"/>
        <v>0</v>
      </c>
      <c r="F18" s="692">
        <v>0.02</v>
      </c>
      <c r="G18" s="259"/>
      <c r="H18" s="516">
        <v>19.829999999999998</v>
      </c>
      <c r="I18" s="692">
        <v>0.09</v>
      </c>
      <c r="J18" s="692" t="s">
        <v>180</v>
      </c>
      <c r="K18" s="692" t="s">
        <v>180</v>
      </c>
      <c r="L18" s="694">
        <f t="shared" si="4"/>
        <v>0</v>
      </c>
      <c r="M18" s="692">
        <v>0.23002800000000001</v>
      </c>
      <c r="N18" s="259"/>
      <c r="O18" s="516">
        <v>4.95</v>
      </c>
      <c r="P18" s="518">
        <v>9.9999999999999995E-7</v>
      </c>
      <c r="Q18" s="693" t="s">
        <v>180</v>
      </c>
      <c r="R18" s="693" t="s">
        <v>180</v>
      </c>
      <c r="S18" s="694">
        <f t="shared" si="5"/>
        <v>0</v>
      </c>
      <c r="T18" s="517">
        <v>0.16</v>
      </c>
      <c r="U18" s="686"/>
      <c r="V18" s="516">
        <v>9.9999999999999995E-7</v>
      </c>
      <c r="W18" s="693" t="s">
        <v>180</v>
      </c>
      <c r="X18" s="693" t="s">
        <v>180</v>
      </c>
      <c r="Y18" s="693" t="s">
        <v>180</v>
      </c>
      <c r="Z18" s="694">
        <f t="shared" si="6"/>
        <v>0</v>
      </c>
      <c r="AA18" s="692">
        <v>9.9999999999999995E-7</v>
      </c>
    </row>
    <row r="19" spans="1:47" ht="14" x14ac:dyDescent="0.3">
      <c r="A19" s="516">
        <v>25.02</v>
      </c>
      <c r="B19" s="692">
        <v>0.32</v>
      </c>
      <c r="C19" s="692" t="s">
        <v>180</v>
      </c>
      <c r="D19" s="692" t="s">
        <v>180</v>
      </c>
      <c r="E19" s="694">
        <f t="shared" si="7"/>
        <v>0</v>
      </c>
      <c r="F19" s="692">
        <v>0.02</v>
      </c>
      <c r="G19" s="259"/>
      <c r="H19" s="516">
        <v>50.7</v>
      </c>
      <c r="I19" s="692">
        <v>0.06</v>
      </c>
      <c r="J19" s="692" t="s">
        <v>180</v>
      </c>
      <c r="K19" s="692" t="s">
        <v>180</v>
      </c>
      <c r="L19" s="694">
        <f t="shared" si="4"/>
        <v>0</v>
      </c>
      <c r="M19" s="692">
        <v>0.38024999999999998</v>
      </c>
      <c r="N19" s="259"/>
      <c r="O19" s="516">
        <v>9.8800000000000008</v>
      </c>
      <c r="P19" s="518">
        <v>-0.01</v>
      </c>
      <c r="Q19" s="693" t="s">
        <v>180</v>
      </c>
      <c r="R19" s="693" t="s">
        <v>180</v>
      </c>
      <c r="S19" s="694">
        <f t="shared" si="5"/>
        <v>0</v>
      </c>
      <c r="T19" s="517">
        <v>0.26</v>
      </c>
      <c r="U19" s="686"/>
      <c r="V19" s="516">
        <v>9.9999999999999995E-7</v>
      </c>
      <c r="W19" s="693" t="s">
        <v>180</v>
      </c>
      <c r="X19" s="693" t="s">
        <v>180</v>
      </c>
      <c r="Y19" s="693" t="s">
        <v>180</v>
      </c>
      <c r="Z19" s="694">
        <f t="shared" si="6"/>
        <v>0</v>
      </c>
      <c r="AA19" s="692">
        <v>9.9999999999999995E-7</v>
      </c>
    </row>
    <row r="20" spans="1:47" ht="14" x14ac:dyDescent="0.3">
      <c r="A20" s="516">
        <v>49.82</v>
      </c>
      <c r="B20" s="692">
        <v>0.72</v>
      </c>
      <c r="C20" s="692" t="s">
        <v>180</v>
      </c>
      <c r="D20" s="692" t="s">
        <v>180</v>
      </c>
      <c r="E20" s="694">
        <f t="shared" si="7"/>
        <v>0</v>
      </c>
      <c r="F20" s="692">
        <v>0.02</v>
      </c>
      <c r="G20" s="259"/>
      <c r="H20" s="516">
        <v>77.42</v>
      </c>
      <c r="I20" s="692">
        <v>0.23</v>
      </c>
      <c r="J20" s="692" t="s">
        <v>180</v>
      </c>
      <c r="K20" s="692" t="s">
        <v>180</v>
      </c>
      <c r="L20" s="694">
        <f t="shared" si="4"/>
        <v>0</v>
      </c>
      <c r="M20" s="692">
        <v>0.58065</v>
      </c>
      <c r="N20" s="259"/>
      <c r="O20" s="516">
        <v>19.78</v>
      </c>
      <c r="P20" s="518">
        <v>-0.01</v>
      </c>
      <c r="Q20" s="693" t="s">
        <v>180</v>
      </c>
      <c r="R20" s="693" t="s">
        <v>180</v>
      </c>
      <c r="S20" s="694">
        <f t="shared" si="5"/>
        <v>0</v>
      </c>
      <c r="T20" s="517">
        <v>1.6</v>
      </c>
      <c r="U20" s="686"/>
      <c r="V20" s="516">
        <v>10</v>
      </c>
      <c r="W20" s="693" t="s">
        <v>180</v>
      </c>
      <c r="X20" s="693" t="s">
        <v>180</v>
      </c>
      <c r="Y20" s="693" t="s">
        <v>180</v>
      </c>
      <c r="Z20" s="694">
        <f>0.5*(MAX(W20:Y20)-MIN(W20:Y20))</f>
        <v>0</v>
      </c>
      <c r="AA20" s="692">
        <v>9.9999999999999995E-7</v>
      </c>
    </row>
    <row r="21" spans="1:47" ht="14" x14ac:dyDescent="0.3">
      <c r="A21" s="388"/>
      <c r="B21" s="388"/>
      <c r="C21" s="388"/>
      <c r="D21" s="388"/>
      <c r="E21" s="388"/>
      <c r="F21" s="388"/>
      <c r="G21" s="388"/>
      <c r="H21" s="388"/>
      <c r="I21" s="388"/>
      <c r="J21" s="388"/>
      <c r="K21" s="388"/>
      <c r="L21" s="388"/>
      <c r="M21" s="388"/>
      <c r="N21" s="388"/>
      <c r="O21" s="388"/>
      <c r="P21" s="388"/>
      <c r="Q21" s="388"/>
      <c r="R21" s="388"/>
      <c r="S21" s="388"/>
      <c r="T21" s="388"/>
      <c r="U21" s="686"/>
      <c r="V21" s="40"/>
      <c r="W21" s="40"/>
      <c r="X21" s="40"/>
      <c r="Y21" s="40"/>
      <c r="Z21" s="40"/>
    </row>
    <row r="22" spans="1:47" ht="15" customHeight="1" thickBot="1" x14ac:dyDescent="0.35">
      <c r="A22" s="1148" t="s">
        <v>272</v>
      </c>
      <c r="B22" s="1148"/>
      <c r="C22" s="1148"/>
      <c r="D22" s="1148"/>
      <c r="E22" s="1134" t="s">
        <v>176</v>
      </c>
      <c r="F22" s="1144" t="s">
        <v>282</v>
      </c>
      <c r="G22" s="520"/>
      <c r="H22" s="1148" t="s">
        <v>279</v>
      </c>
      <c r="I22" s="1148"/>
      <c r="J22" s="1148"/>
      <c r="K22" s="1148"/>
      <c r="L22" s="1145" t="s">
        <v>176</v>
      </c>
      <c r="M22" s="1144" t="s">
        <v>282</v>
      </c>
      <c r="N22" s="521"/>
      <c r="O22" s="1131" t="s">
        <v>350</v>
      </c>
      <c r="P22" s="1132"/>
      <c r="Q22" s="1132"/>
      <c r="R22" s="1133"/>
      <c r="S22" s="1134" t="s">
        <v>176</v>
      </c>
      <c r="T22" s="1137" t="s">
        <v>282</v>
      </c>
      <c r="U22" s="686"/>
      <c r="V22" s="1131">
        <v>15</v>
      </c>
      <c r="W22" s="1132"/>
      <c r="X22" s="1132"/>
      <c r="Y22" s="1133"/>
      <c r="Z22" s="1134" t="s">
        <v>176</v>
      </c>
      <c r="AA22" s="1137" t="s">
        <v>271</v>
      </c>
    </row>
    <row r="23" spans="1:47" ht="30" customHeight="1" x14ac:dyDescent="0.3">
      <c r="A23" s="688" t="s">
        <v>274</v>
      </c>
      <c r="B23" s="1145" t="s">
        <v>175</v>
      </c>
      <c r="C23" s="1145"/>
      <c r="D23" s="1145"/>
      <c r="E23" s="1135"/>
      <c r="F23" s="1144"/>
      <c r="G23" s="520"/>
      <c r="H23" s="688" t="s">
        <v>274</v>
      </c>
      <c r="I23" s="1145" t="s">
        <v>175</v>
      </c>
      <c r="J23" s="1145"/>
      <c r="K23" s="1145"/>
      <c r="L23" s="1145"/>
      <c r="M23" s="1144"/>
      <c r="N23" s="521"/>
      <c r="O23" s="688" t="s">
        <v>274</v>
      </c>
      <c r="P23" s="1140" t="s">
        <v>175</v>
      </c>
      <c r="Q23" s="1141"/>
      <c r="R23" s="1142"/>
      <c r="S23" s="1135"/>
      <c r="T23" s="1138"/>
      <c r="U23" s="686"/>
      <c r="V23" s="688" t="s">
        <v>274</v>
      </c>
      <c r="W23" s="1140" t="s">
        <v>175</v>
      </c>
      <c r="X23" s="1141"/>
      <c r="Y23" s="1142"/>
      <c r="Z23" s="1135"/>
      <c r="AA23" s="1138"/>
      <c r="AU23" s="687"/>
    </row>
    <row r="24" spans="1:47" ht="15" customHeight="1" x14ac:dyDescent="0.3">
      <c r="A24" s="689" t="s">
        <v>275</v>
      </c>
      <c r="B24" s="690">
        <v>2020</v>
      </c>
      <c r="C24" s="690">
        <v>2017</v>
      </c>
      <c r="D24" s="690" t="s">
        <v>180</v>
      </c>
      <c r="E24" s="1136"/>
      <c r="F24" s="1144"/>
      <c r="G24" s="520"/>
      <c r="H24" s="689" t="s">
        <v>275</v>
      </c>
      <c r="I24" s="690">
        <v>2019</v>
      </c>
      <c r="J24" s="690" t="s">
        <v>180</v>
      </c>
      <c r="K24" s="691" t="s">
        <v>180</v>
      </c>
      <c r="L24" s="1145"/>
      <c r="M24" s="1144"/>
      <c r="N24" s="521"/>
      <c r="O24" s="689" t="s">
        <v>275</v>
      </c>
      <c r="P24" s="515">
        <v>2022</v>
      </c>
      <c r="Q24" s="691" t="s">
        <v>180</v>
      </c>
      <c r="R24" s="690" t="s">
        <v>180</v>
      </c>
      <c r="S24" s="1136"/>
      <c r="T24" s="1139"/>
      <c r="U24" s="686"/>
      <c r="V24" s="689" t="s">
        <v>275</v>
      </c>
      <c r="W24" s="690" t="s">
        <v>180</v>
      </c>
      <c r="X24" s="691" t="s">
        <v>180</v>
      </c>
      <c r="Y24" s="690" t="s">
        <v>180</v>
      </c>
      <c r="Z24" s="1136"/>
      <c r="AA24" s="1139"/>
      <c r="AU24" s="40"/>
    </row>
    <row r="25" spans="1:47" ht="14" x14ac:dyDescent="0.3">
      <c r="A25" s="516">
        <v>9.9999999999999995E-7</v>
      </c>
      <c r="B25" s="692">
        <v>9.9999999999999995E-7</v>
      </c>
      <c r="C25" s="692">
        <v>0</v>
      </c>
      <c r="D25" s="692" t="s">
        <v>180</v>
      </c>
      <c r="E25" s="692">
        <v>9.9999999999999995E-7</v>
      </c>
      <c r="F25" s="692">
        <v>1.1583E-2</v>
      </c>
      <c r="G25" s="520"/>
      <c r="H25" s="516">
        <v>9.9999999999999995E-7</v>
      </c>
      <c r="I25" s="692">
        <v>9.9999999999999995E-7</v>
      </c>
      <c r="J25" s="692" t="s">
        <v>180</v>
      </c>
      <c r="K25" s="692" t="s">
        <v>180</v>
      </c>
      <c r="L25" s="692">
        <v>9.9999999999999995E-7</v>
      </c>
      <c r="M25" s="692">
        <v>1.1832000000000001E-2</v>
      </c>
      <c r="N25" s="521"/>
      <c r="O25" s="516">
        <v>9.9999999999999995E-7</v>
      </c>
      <c r="P25" s="518">
        <v>1.0000000000000001E-5</v>
      </c>
      <c r="Q25" s="693" t="s">
        <v>180</v>
      </c>
      <c r="R25" s="693" t="s">
        <v>180</v>
      </c>
      <c r="S25" s="692">
        <v>9.9999999999999995E-7</v>
      </c>
      <c r="T25" s="517">
        <v>0.08</v>
      </c>
      <c r="U25" s="686"/>
      <c r="V25" s="516">
        <v>9.9999999999999995E-7</v>
      </c>
      <c r="W25" s="693" t="s">
        <v>180</v>
      </c>
      <c r="X25" s="693" t="s">
        <v>180</v>
      </c>
      <c r="Y25" s="693" t="s">
        <v>180</v>
      </c>
      <c r="Z25" s="692">
        <v>9.9999999999999995E-7</v>
      </c>
      <c r="AA25" s="692">
        <v>9.9999999999999995E-7</v>
      </c>
      <c r="AU25" s="40"/>
    </row>
    <row r="26" spans="1:47" ht="15.75" customHeight="1" x14ac:dyDescent="0.3">
      <c r="A26" s="516">
        <v>1</v>
      </c>
      <c r="B26" s="692">
        <v>9.9999999999999995E-7</v>
      </c>
      <c r="C26" s="692">
        <v>-0.01</v>
      </c>
      <c r="D26" s="692" t="s">
        <v>180</v>
      </c>
      <c r="E26" s="694">
        <f t="shared" ref="E26:E30" si="8">0.5*(MAX(B26:D26)-MIN(B26:D26))</f>
        <v>5.0004999999999997E-3</v>
      </c>
      <c r="F26" s="692">
        <v>1.1583E-2</v>
      </c>
      <c r="G26" s="520"/>
      <c r="H26" s="516">
        <v>1.02</v>
      </c>
      <c r="I26" s="692">
        <v>9.9999999999999995E-7</v>
      </c>
      <c r="J26" s="692" t="s">
        <v>180</v>
      </c>
      <c r="K26" s="692" t="s">
        <v>180</v>
      </c>
      <c r="L26" s="694">
        <f t="shared" ref="L26:L30" si="9">0.5*(MAX(I26:K26)-MIN(I26:K26))</f>
        <v>0</v>
      </c>
      <c r="M26" s="692">
        <v>1.183E-2</v>
      </c>
      <c r="N26" s="521"/>
      <c r="O26" s="516">
        <v>1.95</v>
      </c>
      <c r="P26" s="518">
        <v>-0.02</v>
      </c>
      <c r="Q26" s="693" t="s">
        <v>180</v>
      </c>
      <c r="R26" s="693" t="s">
        <v>180</v>
      </c>
      <c r="S26" s="694">
        <f t="shared" ref="S26:S30" si="10">0.5*(MAX(P26:R26)-MIN(P26:R26))</f>
        <v>0</v>
      </c>
      <c r="T26" s="517">
        <v>0.11</v>
      </c>
      <c r="U26" s="686"/>
      <c r="V26" s="516">
        <v>9.9999999999999995E-7</v>
      </c>
      <c r="W26" s="693" t="s">
        <v>180</v>
      </c>
      <c r="X26" s="693" t="s">
        <v>180</v>
      </c>
      <c r="Y26" s="693" t="s">
        <v>180</v>
      </c>
      <c r="Z26" s="694">
        <f t="shared" ref="Z26:Z29" si="11">0.5*(MAX(W26:Y26)-MIN(W26:Y26))</f>
        <v>0</v>
      </c>
      <c r="AA26" s="692">
        <v>9.9999999999999995E-7</v>
      </c>
      <c r="AU26" s="40"/>
    </row>
    <row r="27" spans="1:47" ht="15.75" customHeight="1" x14ac:dyDescent="0.3">
      <c r="A27" s="516">
        <v>8.1300000000000008</v>
      </c>
      <c r="B27" s="692">
        <v>0.02</v>
      </c>
      <c r="C27" s="692">
        <v>0.02</v>
      </c>
      <c r="D27" s="692" t="s">
        <v>180</v>
      </c>
      <c r="E27" s="694">
        <f t="shared" si="8"/>
        <v>0</v>
      </c>
      <c r="F27" s="692">
        <v>9.3716999999999995E-2</v>
      </c>
      <c r="G27" s="520"/>
      <c r="H27" s="516">
        <v>8.1</v>
      </c>
      <c r="I27" s="692">
        <v>-0.02</v>
      </c>
      <c r="J27" s="692" t="s">
        <v>180</v>
      </c>
      <c r="K27" s="692" t="s">
        <v>180</v>
      </c>
      <c r="L27" s="694">
        <f t="shared" si="9"/>
        <v>0</v>
      </c>
      <c r="M27" s="692">
        <v>9.3728000000000006E-2</v>
      </c>
      <c r="N27" s="521"/>
      <c r="O27" s="516">
        <v>2.96</v>
      </c>
      <c r="P27" s="518">
        <v>-0.03</v>
      </c>
      <c r="Q27" s="693" t="s">
        <v>180</v>
      </c>
      <c r="R27" s="693" t="s">
        <v>180</v>
      </c>
      <c r="S27" s="694">
        <f t="shared" si="10"/>
        <v>0</v>
      </c>
      <c r="T27" s="517">
        <v>0.12</v>
      </c>
      <c r="U27" s="686"/>
      <c r="V27" s="516">
        <v>9.9999999999999995E-7</v>
      </c>
      <c r="W27" s="693" t="s">
        <v>180</v>
      </c>
      <c r="X27" s="693" t="s">
        <v>180</v>
      </c>
      <c r="Y27" s="693" t="s">
        <v>180</v>
      </c>
      <c r="Z27" s="694">
        <f t="shared" si="11"/>
        <v>0</v>
      </c>
      <c r="AA27" s="692">
        <v>9.9999999999999995E-7</v>
      </c>
      <c r="AU27" s="40"/>
    </row>
    <row r="28" spans="1:47" ht="15.75" customHeight="1" x14ac:dyDescent="0.3">
      <c r="A28" s="516">
        <v>17.809999999999999</v>
      </c>
      <c r="B28" s="692">
        <v>0</v>
      </c>
      <c r="C28" s="692">
        <v>-0.04</v>
      </c>
      <c r="D28" s="692" t="s">
        <v>180</v>
      </c>
      <c r="E28" s="694">
        <f t="shared" si="8"/>
        <v>0.02</v>
      </c>
      <c r="F28" s="692">
        <v>0.21001500000000001</v>
      </c>
      <c r="G28" s="520"/>
      <c r="H28" s="516">
        <v>17.760000000000002</v>
      </c>
      <c r="I28" s="692">
        <v>-0.02</v>
      </c>
      <c r="J28" s="692" t="s">
        <v>180</v>
      </c>
      <c r="K28" s="692" t="s">
        <v>180</v>
      </c>
      <c r="L28" s="694">
        <f t="shared" si="9"/>
        <v>0</v>
      </c>
      <c r="M28" s="692">
        <v>0.20578399999999999</v>
      </c>
      <c r="N28" s="521"/>
      <c r="O28" s="516">
        <v>4.9400000000000004</v>
      </c>
      <c r="P28" s="518">
        <v>-0.04</v>
      </c>
      <c r="Q28" s="693" t="s">
        <v>180</v>
      </c>
      <c r="R28" s="693" t="s">
        <v>180</v>
      </c>
      <c r="S28" s="694">
        <f t="shared" si="10"/>
        <v>0</v>
      </c>
      <c r="T28" s="517">
        <v>0.16</v>
      </c>
      <c r="U28" s="686"/>
      <c r="V28" s="516">
        <v>9.9999999999999995E-7</v>
      </c>
      <c r="W28" s="693" t="s">
        <v>180</v>
      </c>
      <c r="X28" s="693" t="s">
        <v>180</v>
      </c>
      <c r="Y28" s="693" t="s">
        <v>180</v>
      </c>
      <c r="Z28" s="694">
        <f t="shared" si="11"/>
        <v>0</v>
      </c>
      <c r="AA28" s="692">
        <v>9.9999999999999995E-7</v>
      </c>
      <c r="AU28" s="40"/>
    </row>
    <row r="29" spans="1:47" ht="15.75" customHeight="1" x14ac:dyDescent="0.3">
      <c r="A29" s="516">
        <v>19.8</v>
      </c>
      <c r="B29" s="692">
        <v>-0.16</v>
      </c>
      <c r="C29" s="692">
        <v>-0.03</v>
      </c>
      <c r="D29" s="692" t="s">
        <v>180</v>
      </c>
      <c r="E29" s="694">
        <f t="shared" si="8"/>
        <v>6.5000000000000002E-2</v>
      </c>
      <c r="F29" s="692">
        <v>0.23142599999999999</v>
      </c>
      <c r="G29" s="520"/>
      <c r="H29" s="516">
        <v>19.760000000000002</v>
      </c>
      <c r="I29" s="692">
        <v>-0.06</v>
      </c>
      <c r="J29" s="692" t="s">
        <v>180</v>
      </c>
      <c r="K29" s="692" t="s">
        <v>180</v>
      </c>
      <c r="L29" s="694">
        <f t="shared" si="9"/>
        <v>0</v>
      </c>
      <c r="M29" s="692">
        <v>0.1482</v>
      </c>
      <c r="N29" s="521"/>
      <c r="O29" s="516">
        <v>9.8699999999999992</v>
      </c>
      <c r="P29" s="518">
        <v>-0.05</v>
      </c>
      <c r="Q29" s="693" t="s">
        <v>180</v>
      </c>
      <c r="R29" s="693" t="s">
        <v>180</v>
      </c>
      <c r="S29" s="694">
        <f t="shared" si="10"/>
        <v>0</v>
      </c>
      <c r="T29" s="517">
        <v>0.26</v>
      </c>
      <c r="U29" s="686"/>
      <c r="V29" s="516">
        <v>9.9999999999999995E-7</v>
      </c>
      <c r="W29" s="693" t="s">
        <v>180</v>
      </c>
      <c r="X29" s="693" t="s">
        <v>180</v>
      </c>
      <c r="Y29" s="693" t="s">
        <v>180</v>
      </c>
      <c r="Z29" s="694">
        <f t="shared" si="11"/>
        <v>0</v>
      </c>
      <c r="AA29" s="692">
        <v>9.9999999999999995E-7</v>
      </c>
      <c r="AU29" s="40"/>
    </row>
    <row r="30" spans="1:47" ht="15.75" customHeight="1" x14ac:dyDescent="0.3">
      <c r="A30" s="516">
        <v>86.66</v>
      </c>
      <c r="B30" s="692">
        <v>-0.39</v>
      </c>
      <c r="C30" s="692">
        <v>-0.38</v>
      </c>
      <c r="D30" s="692" t="s">
        <v>180</v>
      </c>
      <c r="E30" s="694">
        <f t="shared" si="8"/>
        <v>5.0000000000000044E-3</v>
      </c>
      <c r="F30" s="692">
        <v>6.5861600000000006E-2</v>
      </c>
      <c r="G30" s="520"/>
      <c r="H30" s="516">
        <v>90.96</v>
      </c>
      <c r="I30" s="692">
        <v>-0.2</v>
      </c>
      <c r="J30" s="692" t="s">
        <v>180</v>
      </c>
      <c r="K30" s="692" t="s">
        <v>180</v>
      </c>
      <c r="L30" s="694">
        <f t="shared" si="9"/>
        <v>0</v>
      </c>
      <c r="M30" s="692">
        <v>0.6825</v>
      </c>
      <c r="N30" s="521"/>
      <c r="O30" s="516">
        <v>19.78</v>
      </c>
      <c r="P30" s="518">
        <v>-0.03</v>
      </c>
      <c r="Q30" s="693" t="s">
        <v>180</v>
      </c>
      <c r="R30" s="693" t="s">
        <v>180</v>
      </c>
      <c r="S30" s="694">
        <f t="shared" si="10"/>
        <v>0</v>
      </c>
      <c r="T30" s="517">
        <v>1.6</v>
      </c>
      <c r="U30" s="686"/>
      <c r="V30" s="516">
        <v>10</v>
      </c>
      <c r="W30" s="693" t="s">
        <v>180</v>
      </c>
      <c r="X30" s="693" t="s">
        <v>180</v>
      </c>
      <c r="Y30" s="693" t="s">
        <v>180</v>
      </c>
      <c r="Z30" s="694">
        <f>0.5*(MAX(W30:Y30)-MIN(W30:Y30))</f>
        <v>0</v>
      </c>
      <c r="AA30" s="692">
        <v>9.9999999999999995E-7</v>
      </c>
      <c r="AU30" s="40"/>
    </row>
    <row r="31" spans="1:47" ht="15.75" customHeight="1" x14ac:dyDescent="0.3">
      <c r="G31" s="520"/>
      <c r="N31" s="521"/>
      <c r="U31" s="686"/>
      <c r="AU31" s="40"/>
    </row>
    <row r="32" spans="1:47" ht="15" customHeight="1" x14ac:dyDescent="0.3">
      <c r="A32" s="1148" t="s">
        <v>277</v>
      </c>
      <c r="B32" s="1148"/>
      <c r="C32" s="1148"/>
      <c r="D32" s="1148"/>
      <c r="E32" s="1145" t="s">
        <v>176</v>
      </c>
      <c r="F32" s="1144" t="s">
        <v>282</v>
      </c>
      <c r="G32" s="520"/>
      <c r="H32" s="1131" t="s">
        <v>280</v>
      </c>
      <c r="I32" s="1132"/>
      <c r="J32" s="1132"/>
      <c r="K32" s="1133"/>
      <c r="L32" s="1134" t="s">
        <v>176</v>
      </c>
      <c r="M32" s="1137" t="s">
        <v>282</v>
      </c>
      <c r="N32" s="521"/>
      <c r="O32" s="1131">
        <v>12</v>
      </c>
      <c r="P32" s="1132"/>
      <c r="Q32" s="1132"/>
      <c r="R32" s="1133"/>
      <c r="S32" s="1134" t="s">
        <v>176</v>
      </c>
      <c r="T32" s="1137" t="s">
        <v>282</v>
      </c>
      <c r="U32" s="686"/>
      <c r="V32" s="1131">
        <v>16</v>
      </c>
      <c r="W32" s="1132"/>
      <c r="X32" s="1132"/>
      <c r="Y32" s="1133"/>
      <c r="Z32" s="1134" t="s">
        <v>176</v>
      </c>
      <c r="AA32" s="1137" t="s">
        <v>271</v>
      </c>
      <c r="AU32" s="40"/>
    </row>
    <row r="33" spans="1:47" ht="30" customHeight="1" x14ac:dyDescent="0.3">
      <c r="A33" s="688" t="s">
        <v>274</v>
      </c>
      <c r="B33" s="1145" t="s">
        <v>175</v>
      </c>
      <c r="C33" s="1145"/>
      <c r="D33" s="1145"/>
      <c r="E33" s="1145"/>
      <c r="F33" s="1144"/>
      <c r="G33" s="520"/>
      <c r="H33" s="688" t="s">
        <v>274</v>
      </c>
      <c r="I33" s="1140" t="s">
        <v>175</v>
      </c>
      <c r="J33" s="1141"/>
      <c r="K33" s="1142"/>
      <c r="L33" s="1135"/>
      <c r="M33" s="1138"/>
      <c r="N33" s="521"/>
      <c r="O33" s="688" t="s">
        <v>274</v>
      </c>
      <c r="P33" s="1140" t="s">
        <v>175</v>
      </c>
      <c r="Q33" s="1141"/>
      <c r="R33" s="1142"/>
      <c r="S33" s="1135"/>
      <c r="T33" s="1138"/>
      <c r="U33" s="686"/>
      <c r="V33" s="688" t="s">
        <v>274</v>
      </c>
      <c r="W33" s="1140" t="s">
        <v>175</v>
      </c>
      <c r="X33" s="1141"/>
      <c r="Y33" s="1142"/>
      <c r="Z33" s="1135"/>
      <c r="AA33" s="1138"/>
      <c r="AU33" s="40"/>
    </row>
    <row r="34" spans="1:47" ht="15" customHeight="1" x14ac:dyDescent="0.3">
      <c r="A34" s="689" t="s">
        <v>275</v>
      </c>
      <c r="B34" s="690">
        <f>B4</f>
        <v>2018</v>
      </c>
      <c r="C34" s="691" t="s">
        <v>180</v>
      </c>
      <c r="D34" s="691" t="s">
        <v>180</v>
      </c>
      <c r="E34" s="1145"/>
      <c r="F34" s="1144"/>
      <c r="G34" s="520"/>
      <c r="H34" s="689" t="s">
        <v>275</v>
      </c>
      <c r="I34" s="690">
        <v>2019</v>
      </c>
      <c r="J34" s="690" t="s">
        <v>180</v>
      </c>
      <c r="K34" s="691" t="s">
        <v>180</v>
      </c>
      <c r="L34" s="1136"/>
      <c r="M34" s="1139"/>
      <c r="N34" s="521"/>
      <c r="O34" s="689" t="s">
        <v>275</v>
      </c>
      <c r="P34" s="690" t="s">
        <v>180</v>
      </c>
      <c r="Q34" s="691" t="s">
        <v>180</v>
      </c>
      <c r="R34" s="690" t="s">
        <v>180</v>
      </c>
      <c r="S34" s="1136"/>
      <c r="T34" s="1139"/>
      <c r="U34" s="686"/>
      <c r="V34" s="689" t="s">
        <v>275</v>
      </c>
      <c r="W34" s="690" t="s">
        <v>180</v>
      </c>
      <c r="X34" s="691" t="s">
        <v>180</v>
      </c>
      <c r="Y34" s="690" t="s">
        <v>180</v>
      </c>
      <c r="Z34" s="1136"/>
      <c r="AA34" s="1139"/>
      <c r="AU34" s="40"/>
    </row>
    <row r="35" spans="1:47" ht="15.75" customHeight="1" x14ac:dyDescent="0.3">
      <c r="A35" s="516">
        <v>9.9999999999999995E-7</v>
      </c>
      <c r="B35" s="692">
        <v>9.9999999999999995E-7</v>
      </c>
      <c r="C35" s="692" t="s">
        <v>180</v>
      </c>
      <c r="D35" s="692" t="s">
        <v>180</v>
      </c>
      <c r="E35" s="692">
        <v>9.9999999999999995E-7</v>
      </c>
      <c r="F35" s="692">
        <v>0.10199999999999999</v>
      </c>
      <c r="G35" s="520"/>
      <c r="H35" s="516">
        <v>9.9999999999999995E-7</v>
      </c>
      <c r="I35" s="692">
        <v>9.9999999999999995E-7</v>
      </c>
      <c r="J35" s="692" t="s">
        <v>180</v>
      </c>
      <c r="K35" s="692" t="s">
        <v>180</v>
      </c>
      <c r="L35" s="692">
        <v>9.9999999999999995E-7</v>
      </c>
      <c r="M35" s="692">
        <v>1.1832000000000001E-2</v>
      </c>
      <c r="N35" s="521"/>
      <c r="O35" s="516">
        <v>9.9999999999999995E-7</v>
      </c>
      <c r="P35" s="693" t="s">
        <v>180</v>
      </c>
      <c r="Q35" s="693" t="s">
        <v>180</v>
      </c>
      <c r="R35" s="693" t="s">
        <v>180</v>
      </c>
      <c r="S35" s="692">
        <v>9.9999999999999995E-7</v>
      </c>
      <c r="T35" s="692">
        <v>9.9999999999999995E-7</v>
      </c>
      <c r="U35" s="686"/>
      <c r="V35" s="516">
        <v>9.9999999999999995E-7</v>
      </c>
      <c r="W35" s="693" t="s">
        <v>180</v>
      </c>
      <c r="X35" s="693" t="s">
        <v>180</v>
      </c>
      <c r="Y35" s="693" t="s">
        <v>180</v>
      </c>
      <c r="Z35" s="692">
        <v>9.9999999999999995E-7</v>
      </c>
      <c r="AA35" s="692">
        <v>9.9999999999999995E-7</v>
      </c>
      <c r="AU35" s="40"/>
    </row>
    <row r="36" spans="1:47" ht="15.75" customHeight="1" x14ac:dyDescent="0.3">
      <c r="A36" s="516">
        <v>5.0999999999999996</v>
      </c>
      <c r="B36" s="692">
        <v>0.08</v>
      </c>
      <c r="C36" s="692" t="s">
        <v>180</v>
      </c>
      <c r="D36" s="692" t="s">
        <v>180</v>
      </c>
      <c r="E36" s="694">
        <f t="shared" ref="E36:E39" si="12">0.5*(MAX(B36:D36)-MIN(B36:D36))</f>
        <v>0</v>
      </c>
      <c r="F36" s="692">
        <v>0.10199999999999999</v>
      </c>
      <c r="G36" s="520"/>
      <c r="H36" s="516">
        <v>1.02</v>
      </c>
      <c r="I36" s="692">
        <v>9.9999999999999995E-7</v>
      </c>
      <c r="J36" s="692" t="s">
        <v>180</v>
      </c>
      <c r="K36" s="692" t="s">
        <v>180</v>
      </c>
      <c r="L36" s="694">
        <f t="shared" ref="L36:L40" si="13">0.5*(MAX(I36:K36)-MIN(I36:K36))</f>
        <v>0</v>
      </c>
      <c r="M36" s="692">
        <v>1.183E-2</v>
      </c>
      <c r="N36" s="521"/>
      <c r="O36" s="516">
        <v>9.9999999999999995E-7</v>
      </c>
      <c r="P36" s="693" t="s">
        <v>180</v>
      </c>
      <c r="Q36" s="693" t="s">
        <v>180</v>
      </c>
      <c r="R36" s="693" t="s">
        <v>180</v>
      </c>
      <c r="S36" s="694">
        <f t="shared" ref="S36:S39" si="14">0.5*(MAX(P36:R36)-MIN(P36:R36))</f>
        <v>0</v>
      </c>
      <c r="T36" s="692">
        <v>9.9999999999999995E-7</v>
      </c>
      <c r="U36" s="686"/>
      <c r="V36" s="516">
        <v>9.9999999999999995E-7</v>
      </c>
      <c r="W36" s="693" t="s">
        <v>180</v>
      </c>
      <c r="X36" s="693" t="s">
        <v>180</v>
      </c>
      <c r="Y36" s="693" t="s">
        <v>180</v>
      </c>
      <c r="Z36" s="694">
        <f t="shared" ref="Z36:Z39" si="15">0.5*(MAX(W36:Y36)-MIN(W36:Y36))</f>
        <v>0</v>
      </c>
      <c r="AA36" s="692">
        <v>9.9999999999999995E-7</v>
      </c>
      <c r="AU36" s="40"/>
    </row>
    <row r="37" spans="1:47" ht="15.75" customHeight="1" x14ac:dyDescent="0.3">
      <c r="A37" s="516">
        <v>10.1</v>
      </c>
      <c r="B37" s="692">
        <v>0.1</v>
      </c>
      <c r="C37" s="692" t="s">
        <v>180</v>
      </c>
      <c r="D37" s="692" t="s">
        <v>180</v>
      </c>
      <c r="E37" s="694">
        <f t="shared" si="12"/>
        <v>0</v>
      </c>
      <c r="F37" s="692">
        <v>0.20200000000000001</v>
      </c>
      <c r="G37" s="520"/>
      <c r="H37" s="516">
        <v>8.1</v>
      </c>
      <c r="I37" s="692">
        <v>0.01</v>
      </c>
      <c r="J37" s="692" t="s">
        <v>180</v>
      </c>
      <c r="K37" s="692" t="s">
        <v>180</v>
      </c>
      <c r="L37" s="694">
        <f t="shared" si="13"/>
        <v>0</v>
      </c>
      <c r="M37" s="692">
        <v>9.4076000000000007E-2</v>
      </c>
      <c r="N37" s="521"/>
      <c r="O37" s="516">
        <v>9.9999999999999995E-7</v>
      </c>
      <c r="P37" s="693" t="s">
        <v>180</v>
      </c>
      <c r="Q37" s="693" t="s">
        <v>180</v>
      </c>
      <c r="R37" s="693" t="s">
        <v>180</v>
      </c>
      <c r="S37" s="694">
        <f t="shared" si="14"/>
        <v>0</v>
      </c>
      <c r="T37" s="692">
        <v>9.9999999999999995E-7</v>
      </c>
      <c r="U37" s="686"/>
      <c r="V37" s="516">
        <v>9.9999999999999995E-7</v>
      </c>
      <c r="W37" s="693" t="s">
        <v>180</v>
      </c>
      <c r="X37" s="693" t="s">
        <v>180</v>
      </c>
      <c r="Y37" s="693" t="s">
        <v>180</v>
      </c>
      <c r="Z37" s="694">
        <f t="shared" si="15"/>
        <v>0</v>
      </c>
      <c r="AA37" s="692">
        <v>9.9999999999999995E-7</v>
      </c>
      <c r="AU37" s="40"/>
    </row>
    <row r="38" spans="1:47" ht="15.75" customHeight="1" x14ac:dyDescent="0.3">
      <c r="A38" s="516">
        <v>50.52</v>
      </c>
      <c r="B38" s="692">
        <v>0.32</v>
      </c>
      <c r="C38" s="692" t="s">
        <v>180</v>
      </c>
      <c r="D38" s="692" t="s">
        <v>180</v>
      </c>
      <c r="E38" s="694">
        <f t="shared" si="12"/>
        <v>0</v>
      </c>
      <c r="F38" s="692">
        <v>1.7000000000000001E-2</v>
      </c>
      <c r="G38" s="520"/>
      <c r="H38" s="516">
        <v>17.760000000000002</v>
      </c>
      <c r="I38" s="692">
        <v>0</v>
      </c>
      <c r="J38" s="692" t="s">
        <v>180</v>
      </c>
      <c r="K38" s="692" t="s">
        <v>180</v>
      </c>
      <c r="L38" s="694">
        <f t="shared" si="13"/>
        <v>0</v>
      </c>
      <c r="M38" s="692">
        <v>0.206016</v>
      </c>
      <c r="N38" s="520"/>
      <c r="O38" s="516">
        <v>9.9999999999999995E-7</v>
      </c>
      <c r="P38" s="693" t="s">
        <v>180</v>
      </c>
      <c r="Q38" s="693" t="s">
        <v>180</v>
      </c>
      <c r="R38" s="693" t="s">
        <v>180</v>
      </c>
      <c r="S38" s="694">
        <f t="shared" si="14"/>
        <v>0</v>
      </c>
      <c r="T38" s="692">
        <v>9.9999999999999995E-7</v>
      </c>
      <c r="U38" s="686"/>
      <c r="V38" s="516">
        <v>9.9999999999999995E-7</v>
      </c>
      <c r="W38" s="693" t="s">
        <v>180</v>
      </c>
      <c r="X38" s="693" t="s">
        <v>180</v>
      </c>
      <c r="Y38" s="693" t="s">
        <v>180</v>
      </c>
      <c r="Z38" s="694">
        <f t="shared" si="15"/>
        <v>0</v>
      </c>
      <c r="AA38" s="692">
        <v>9.9999999999999995E-7</v>
      </c>
      <c r="AU38" s="40"/>
    </row>
    <row r="39" spans="1:47" ht="15.75" customHeight="1" x14ac:dyDescent="0.3">
      <c r="A39" s="516">
        <v>100</v>
      </c>
      <c r="B39" s="692">
        <v>0.5</v>
      </c>
      <c r="C39" s="692" t="s">
        <v>180</v>
      </c>
      <c r="D39" s="692" t="s">
        <v>180</v>
      </c>
      <c r="E39" s="694">
        <f t="shared" si="12"/>
        <v>0</v>
      </c>
      <c r="F39" s="692">
        <v>1.7000000000000001E-2</v>
      </c>
      <c r="G39" s="520"/>
      <c r="H39" s="516">
        <v>19.760000000000002</v>
      </c>
      <c r="I39" s="692">
        <v>-0.14000000000000001</v>
      </c>
      <c r="J39" s="692" t="s">
        <v>180</v>
      </c>
      <c r="K39" s="692" t="s">
        <v>180</v>
      </c>
      <c r="L39" s="694">
        <f t="shared" si="13"/>
        <v>0</v>
      </c>
      <c r="M39" s="692">
        <v>0.1482</v>
      </c>
      <c r="N39" s="520"/>
      <c r="O39" s="516">
        <v>9.9999999999999995E-7</v>
      </c>
      <c r="P39" s="693" t="s">
        <v>180</v>
      </c>
      <c r="Q39" s="693" t="s">
        <v>180</v>
      </c>
      <c r="R39" s="693" t="s">
        <v>180</v>
      </c>
      <c r="S39" s="694">
        <f t="shared" si="14"/>
        <v>0</v>
      </c>
      <c r="T39" s="692">
        <v>9.9999999999999995E-7</v>
      </c>
      <c r="U39" s="686"/>
      <c r="V39" s="516">
        <v>9.9999999999999995E-7</v>
      </c>
      <c r="W39" s="693" t="s">
        <v>180</v>
      </c>
      <c r="X39" s="693" t="s">
        <v>180</v>
      </c>
      <c r="Y39" s="693" t="s">
        <v>180</v>
      </c>
      <c r="Z39" s="694">
        <f t="shared" si="15"/>
        <v>0</v>
      </c>
      <c r="AA39" s="692">
        <v>9.9999999999999995E-7</v>
      </c>
      <c r="AU39" s="40"/>
    </row>
    <row r="40" spans="1:47" ht="15.75" customHeight="1" x14ac:dyDescent="0.3">
      <c r="A40" s="516">
        <v>150.59</v>
      </c>
      <c r="B40" s="692">
        <v>0.49</v>
      </c>
      <c r="C40" s="692" t="s">
        <v>180</v>
      </c>
      <c r="D40" s="692" t="s">
        <v>180</v>
      </c>
      <c r="E40" s="694">
        <f>0.5*(MAX(B40:D40)-MIN(B40:D40))</f>
        <v>0</v>
      </c>
      <c r="F40" s="692">
        <v>1.7000000000000001E-2</v>
      </c>
      <c r="G40" s="520"/>
      <c r="H40" s="516">
        <v>90.96</v>
      </c>
      <c r="I40" s="692">
        <v>-0.21</v>
      </c>
      <c r="J40" s="692" t="s">
        <v>180</v>
      </c>
      <c r="K40" s="692" t="s">
        <v>180</v>
      </c>
      <c r="L40" s="694">
        <f t="shared" si="13"/>
        <v>0</v>
      </c>
      <c r="M40" s="692">
        <v>0.68220000000000003</v>
      </c>
      <c r="N40" s="520"/>
      <c r="O40" s="516">
        <v>10</v>
      </c>
      <c r="P40" s="693" t="s">
        <v>180</v>
      </c>
      <c r="Q40" s="693" t="s">
        <v>180</v>
      </c>
      <c r="R40" s="693" t="s">
        <v>180</v>
      </c>
      <c r="S40" s="694">
        <f>0.5*(MAX(P40:R40)-MIN(P40:R40))</f>
        <v>0</v>
      </c>
      <c r="T40" s="692">
        <v>9.9999999999999995E-7</v>
      </c>
      <c r="U40" s="686"/>
      <c r="V40" s="516">
        <v>10</v>
      </c>
      <c r="W40" s="693" t="s">
        <v>180</v>
      </c>
      <c r="X40" s="693" t="s">
        <v>180</v>
      </c>
      <c r="Y40" s="693" t="s">
        <v>180</v>
      </c>
      <c r="Z40" s="694">
        <f>0.5*(MAX(W40:Y40)-MIN(W40:Y40))</f>
        <v>0</v>
      </c>
      <c r="AA40" s="692">
        <v>9.9999999999999995E-7</v>
      </c>
      <c r="AU40" s="40"/>
    </row>
    <row r="41" spans="1:47" s="332" customFormat="1" ht="14.5" thickBot="1" x14ac:dyDescent="0.35">
      <c r="G41" s="695"/>
      <c r="N41" s="695"/>
      <c r="O41" s="695"/>
      <c r="P41" s="695"/>
      <c r="Q41" s="695"/>
      <c r="R41" s="695"/>
      <c r="S41" s="695"/>
      <c r="T41" s="695"/>
      <c r="U41" s="696"/>
      <c r="V41" s="697"/>
      <c r="W41" s="698"/>
      <c r="X41" s="699"/>
      <c r="Y41" s="700"/>
      <c r="Z41" s="701"/>
      <c r="AU41" s="55"/>
    </row>
    <row r="42" spans="1:47" x14ac:dyDescent="0.3">
      <c r="O42" s="40"/>
      <c r="P42" s="40"/>
      <c r="Q42" s="40"/>
      <c r="R42" s="40"/>
      <c r="S42" s="40"/>
      <c r="T42" s="40"/>
      <c r="U42" s="686"/>
      <c r="V42" s="40"/>
      <c r="W42" s="40"/>
      <c r="X42" s="40"/>
      <c r="Y42" s="40"/>
      <c r="Z42" s="40"/>
      <c r="AU42" s="40"/>
    </row>
    <row r="43" spans="1:47" hidden="1" x14ac:dyDescent="0.3">
      <c r="A43" s="1146" t="s">
        <v>45</v>
      </c>
      <c r="B43" s="1147" t="s">
        <v>198</v>
      </c>
      <c r="C43" s="1128" t="s">
        <v>274</v>
      </c>
      <c r="D43" s="1129" t="s">
        <v>351</v>
      </c>
      <c r="E43" s="1129"/>
      <c r="F43" s="1129"/>
      <c r="G43" s="1129" t="s">
        <v>176</v>
      </c>
      <c r="H43" s="1128" t="s">
        <v>271</v>
      </c>
      <c r="U43" s="703"/>
      <c r="AU43" s="40"/>
    </row>
    <row r="44" spans="1:47" hidden="1" x14ac:dyDescent="0.3">
      <c r="A44" s="1146"/>
      <c r="B44" s="1147"/>
      <c r="C44" s="1128"/>
      <c r="D44" s="1129"/>
      <c r="E44" s="1129"/>
      <c r="F44" s="1129"/>
      <c r="G44" s="1129"/>
      <c r="H44" s="1128"/>
      <c r="U44" s="703"/>
      <c r="AU44" s="40"/>
    </row>
    <row r="45" spans="1:47" ht="14" hidden="1" x14ac:dyDescent="0.3">
      <c r="A45" s="1146"/>
      <c r="B45" s="1147"/>
      <c r="C45" s="704" t="s">
        <v>275</v>
      </c>
      <c r="D45" s="702" t="s">
        <v>352</v>
      </c>
      <c r="E45" s="702" t="s">
        <v>353</v>
      </c>
      <c r="F45" s="702" t="s">
        <v>354</v>
      </c>
      <c r="G45" s="1129"/>
      <c r="H45" s="1128"/>
      <c r="U45" s="703"/>
      <c r="AU45" s="40"/>
    </row>
    <row r="46" spans="1:47" ht="13.5" hidden="1" x14ac:dyDescent="0.3">
      <c r="A46" s="705">
        <v>1</v>
      </c>
      <c r="B46" s="706">
        <v>1</v>
      </c>
      <c r="C46" s="707">
        <f>A5</f>
        <v>9.9999999999999995E-7</v>
      </c>
      <c r="D46" s="708">
        <f t="shared" ref="D46:H46" si="16">B5</f>
        <v>9.9999999999999995E-7</v>
      </c>
      <c r="E46" s="708">
        <f t="shared" si="16"/>
        <v>9.9999999999999995E-7</v>
      </c>
      <c r="F46" s="708" t="str">
        <f t="shared" si="16"/>
        <v>-</v>
      </c>
      <c r="G46" s="708">
        <f t="shared" si="16"/>
        <v>9.9999999999999995E-7</v>
      </c>
      <c r="H46" s="708">
        <f t="shared" si="16"/>
        <v>1.9E-2</v>
      </c>
      <c r="N46" s="703"/>
      <c r="O46" s="709"/>
      <c r="P46" s="710"/>
      <c r="Q46" s="710"/>
      <c r="R46" s="522"/>
      <c r="Z46" s="711"/>
      <c r="AU46" s="40"/>
    </row>
    <row r="47" spans="1:47" ht="13.5" hidden="1" x14ac:dyDescent="0.3">
      <c r="A47" s="705"/>
      <c r="B47" s="706">
        <v>2</v>
      </c>
      <c r="C47" s="707">
        <f>A15</f>
        <v>9.9999999999999995E-7</v>
      </c>
      <c r="D47" s="708">
        <f t="shared" ref="D47:H47" si="17">B15</f>
        <v>9.9999999999999995E-7</v>
      </c>
      <c r="E47" s="708" t="str">
        <f t="shared" si="17"/>
        <v>-</v>
      </c>
      <c r="F47" s="708" t="str">
        <f t="shared" si="17"/>
        <v>-</v>
      </c>
      <c r="G47" s="708">
        <f t="shared" si="17"/>
        <v>9.9999999999999995E-7</v>
      </c>
      <c r="H47" s="708">
        <f t="shared" si="17"/>
        <v>0.02</v>
      </c>
      <c r="N47" s="703"/>
      <c r="O47" s="709"/>
      <c r="P47" s="710"/>
      <c r="Q47" s="710"/>
      <c r="R47" s="522"/>
      <c r="Z47" s="711"/>
      <c r="AU47" s="40"/>
    </row>
    <row r="48" spans="1:47" ht="13.5" hidden="1" x14ac:dyDescent="0.3">
      <c r="A48" s="705"/>
      <c r="B48" s="706">
        <v>3</v>
      </c>
      <c r="C48" s="707">
        <f>A25</f>
        <v>9.9999999999999995E-7</v>
      </c>
      <c r="D48" s="708">
        <f t="shared" ref="D48:H48" si="18">B25</f>
        <v>9.9999999999999995E-7</v>
      </c>
      <c r="E48" s="708">
        <f t="shared" si="18"/>
        <v>0</v>
      </c>
      <c r="F48" s="708" t="str">
        <f t="shared" si="18"/>
        <v>-</v>
      </c>
      <c r="G48" s="708">
        <f t="shared" si="18"/>
        <v>9.9999999999999995E-7</v>
      </c>
      <c r="H48" s="708">
        <f t="shared" si="18"/>
        <v>1.1583E-2</v>
      </c>
      <c r="N48" s="703"/>
      <c r="O48" s="709"/>
      <c r="P48" s="710"/>
      <c r="Q48" s="710"/>
      <c r="R48" s="522"/>
      <c r="Z48" s="711"/>
      <c r="AU48" s="40"/>
    </row>
    <row r="49" spans="1:47" hidden="1" x14ac:dyDescent="0.3">
      <c r="A49" s="705"/>
      <c r="B49" s="706">
        <v>4</v>
      </c>
      <c r="C49" s="707">
        <f>A35</f>
        <v>9.9999999999999995E-7</v>
      </c>
      <c r="D49" s="708">
        <f t="shared" ref="D49:H49" si="19">B35</f>
        <v>9.9999999999999995E-7</v>
      </c>
      <c r="E49" s="708" t="str">
        <f t="shared" si="19"/>
        <v>-</v>
      </c>
      <c r="F49" s="708" t="str">
        <f t="shared" si="19"/>
        <v>-</v>
      </c>
      <c r="G49" s="708">
        <f t="shared" si="19"/>
        <v>9.9999999999999995E-7</v>
      </c>
      <c r="H49" s="708">
        <f t="shared" si="19"/>
        <v>0.10199999999999999</v>
      </c>
      <c r="N49" s="703"/>
      <c r="O49" s="709"/>
      <c r="P49" s="710"/>
      <c r="Q49" s="710"/>
      <c r="R49" s="522"/>
      <c r="Z49" s="712"/>
      <c r="AU49" s="40"/>
    </row>
    <row r="50" spans="1:47" hidden="1" x14ac:dyDescent="0.3">
      <c r="A50" s="705"/>
      <c r="B50" s="706">
        <v>5</v>
      </c>
      <c r="C50" s="707">
        <f>H5</f>
        <v>9.9999999999999995E-7</v>
      </c>
      <c r="D50" s="708">
        <f t="shared" ref="D50:H50" si="20">I5</f>
        <v>9.9999999999999995E-7</v>
      </c>
      <c r="E50" s="708" t="str">
        <f t="shared" si="20"/>
        <v>-</v>
      </c>
      <c r="F50" s="708" t="str">
        <f t="shared" si="20"/>
        <v>-</v>
      </c>
      <c r="G50" s="708">
        <f t="shared" si="20"/>
        <v>9.9999999999999995E-7</v>
      </c>
      <c r="H50" s="708">
        <f t="shared" si="20"/>
        <v>9.9999999999999995E-7</v>
      </c>
      <c r="N50" s="703"/>
      <c r="O50" s="703"/>
      <c r="P50" s="703"/>
      <c r="Q50" s="703"/>
      <c r="R50" s="703"/>
      <c r="Z50" s="712"/>
      <c r="AU50" s="40"/>
    </row>
    <row r="51" spans="1:47" hidden="1" x14ac:dyDescent="0.3">
      <c r="A51" s="705"/>
      <c r="B51" s="706">
        <v>6</v>
      </c>
      <c r="C51" s="707">
        <f>H15</f>
        <v>9.9999999999999995E-7</v>
      </c>
      <c r="D51" s="708">
        <f t="shared" ref="D51:H51" si="21">I15</f>
        <v>9.9999999999999995E-7</v>
      </c>
      <c r="E51" s="708" t="str">
        <f t="shared" si="21"/>
        <v>-</v>
      </c>
      <c r="F51" s="708" t="str">
        <f t="shared" si="21"/>
        <v>-</v>
      </c>
      <c r="G51" s="708">
        <f t="shared" si="21"/>
        <v>9.9999999999999995E-7</v>
      </c>
      <c r="H51" s="708">
        <f t="shared" si="21"/>
        <v>9.9999999999999995E-7</v>
      </c>
      <c r="Z51" s="712"/>
      <c r="AU51" s="40"/>
    </row>
    <row r="52" spans="1:47" hidden="1" x14ac:dyDescent="0.3">
      <c r="A52" s="705"/>
      <c r="B52" s="706">
        <v>7</v>
      </c>
      <c r="C52" s="707">
        <f>H25</f>
        <v>9.9999999999999995E-7</v>
      </c>
      <c r="D52" s="708">
        <f t="shared" ref="D52:H52" si="22">I25</f>
        <v>9.9999999999999995E-7</v>
      </c>
      <c r="E52" s="708" t="str">
        <f t="shared" si="22"/>
        <v>-</v>
      </c>
      <c r="F52" s="708" t="str">
        <f t="shared" si="22"/>
        <v>-</v>
      </c>
      <c r="G52" s="708">
        <f t="shared" si="22"/>
        <v>9.9999999999999995E-7</v>
      </c>
      <c r="H52" s="708">
        <f t="shared" si="22"/>
        <v>1.1832000000000001E-2</v>
      </c>
      <c r="Z52" s="712"/>
      <c r="AU52" s="40"/>
    </row>
    <row r="53" spans="1:47" hidden="1" x14ac:dyDescent="0.3">
      <c r="A53" s="705"/>
      <c r="B53" s="706">
        <v>8</v>
      </c>
      <c r="C53" s="713">
        <f>H35</f>
        <v>9.9999999999999995E-7</v>
      </c>
      <c r="D53" s="714">
        <f t="shared" ref="D53:H53" si="23">I35</f>
        <v>9.9999999999999995E-7</v>
      </c>
      <c r="E53" s="714" t="str">
        <f t="shared" si="23"/>
        <v>-</v>
      </c>
      <c r="F53" s="714" t="str">
        <f t="shared" si="23"/>
        <v>-</v>
      </c>
      <c r="G53" s="714">
        <f t="shared" si="23"/>
        <v>9.9999999999999995E-7</v>
      </c>
      <c r="H53" s="714">
        <f t="shared" si="23"/>
        <v>1.1832000000000001E-2</v>
      </c>
      <c r="Z53" s="712"/>
      <c r="AU53" s="40"/>
    </row>
    <row r="54" spans="1:47" hidden="1" x14ac:dyDescent="0.3">
      <c r="A54" s="705"/>
      <c r="B54" s="706">
        <v>9</v>
      </c>
      <c r="C54" s="713">
        <f>O5</f>
        <v>0</v>
      </c>
      <c r="D54" s="714">
        <f t="shared" ref="D54:H54" si="24">P5</f>
        <v>0</v>
      </c>
      <c r="E54" s="714" t="str">
        <f t="shared" si="24"/>
        <v>-</v>
      </c>
      <c r="F54" s="714" t="str">
        <f t="shared" si="24"/>
        <v>-</v>
      </c>
      <c r="G54" s="714">
        <f t="shared" si="24"/>
        <v>9.9999999999999995E-7</v>
      </c>
      <c r="H54" s="714">
        <f t="shared" si="24"/>
        <v>9.9999999999999995E-7</v>
      </c>
      <c r="Z54" s="712"/>
      <c r="AU54" s="40"/>
    </row>
    <row r="55" spans="1:47" hidden="1" x14ac:dyDescent="0.3">
      <c r="A55" s="705"/>
      <c r="B55" s="706">
        <v>10</v>
      </c>
      <c r="C55" s="713">
        <f>O15</f>
        <v>9.9999999999999995E-7</v>
      </c>
      <c r="D55" s="714">
        <f t="shared" ref="D55:H55" si="25">P15</f>
        <v>9.9999999999999995E-7</v>
      </c>
      <c r="E55" s="714" t="str">
        <f t="shared" si="25"/>
        <v>-</v>
      </c>
      <c r="F55" s="714" t="str">
        <f t="shared" si="25"/>
        <v>-</v>
      </c>
      <c r="G55" s="714">
        <f t="shared" si="25"/>
        <v>9.9999999999999995E-7</v>
      </c>
      <c r="H55" s="714">
        <f t="shared" si="25"/>
        <v>0.08</v>
      </c>
      <c r="Z55" s="712"/>
      <c r="AU55" s="40"/>
    </row>
    <row r="56" spans="1:47" hidden="1" x14ac:dyDescent="0.3">
      <c r="A56" s="705"/>
      <c r="B56" s="706">
        <v>11</v>
      </c>
      <c r="C56" s="713">
        <f>O25</f>
        <v>9.9999999999999995E-7</v>
      </c>
      <c r="D56" s="714">
        <f t="shared" ref="D56:H56" si="26">P25</f>
        <v>1.0000000000000001E-5</v>
      </c>
      <c r="E56" s="714" t="str">
        <f t="shared" si="26"/>
        <v>-</v>
      </c>
      <c r="F56" s="714" t="str">
        <f t="shared" si="26"/>
        <v>-</v>
      </c>
      <c r="G56" s="714">
        <f t="shared" si="26"/>
        <v>9.9999999999999995E-7</v>
      </c>
      <c r="H56" s="714">
        <f t="shared" si="26"/>
        <v>0.08</v>
      </c>
      <c r="Z56" s="715"/>
      <c r="AU56" s="40"/>
    </row>
    <row r="57" spans="1:47" hidden="1" x14ac:dyDescent="0.3">
      <c r="A57" s="705"/>
      <c r="B57" s="706">
        <v>12</v>
      </c>
      <c r="C57" s="713">
        <f>O35</f>
        <v>9.9999999999999995E-7</v>
      </c>
      <c r="D57" s="714" t="str">
        <f t="shared" ref="D57:H57" si="27">P35</f>
        <v>-</v>
      </c>
      <c r="E57" s="714" t="str">
        <f t="shared" si="27"/>
        <v>-</v>
      </c>
      <c r="F57" s="714" t="str">
        <f t="shared" si="27"/>
        <v>-</v>
      </c>
      <c r="G57" s="714">
        <f t="shared" si="27"/>
        <v>9.9999999999999995E-7</v>
      </c>
      <c r="H57" s="714">
        <f t="shared" si="27"/>
        <v>9.9999999999999995E-7</v>
      </c>
      <c r="Z57" s="715"/>
      <c r="AU57" s="40"/>
    </row>
    <row r="58" spans="1:47" hidden="1" x14ac:dyDescent="0.3">
      <c r="A58" s="705"/>
      <c r="B58" s="706">
        <v>13</v>
      </c>
      <c r="C58" s="713">
        <f>V5</f>
        <v>9.9999999999999995E-7</v>
      </c>
      <c r="D58" s="714" t="str">
        <f t="shared" ref="D58:H58" si="28">W5</f>
        <v>-</v>
      </c>
      <c r="E58" s="714" t="str">
        <f t="shared" si="28"/>
        <v>-</v>
      </c>
      <c r="F58" s="714" t="str">
        <f t="shared" si="28"/>
        <v>-</v>
      </c>
      <c r="G58" s="714">
        <f t="shared" si="28"/>
        <v>9.9999999999999995E-7</v>
      </c>
      <c r="H58" s="714">
        <f t="shared" si="28"/>
        <v>9.9999999999999995E-7</v>
      </c>
      <c r="Z58" s="715"/>
      <c r="AU58" s="40"/>
    </row>
    <row r="59" spans="1:47" hidden="1" x14ac:dyDescent="0.3">
      <c r="A59" s="705"/>
      <c r="B59" s="706">
        <v>14</v>
      </c>
      <c r="C59" s="713">
        <f>V15</f>
        <v>9.9999999999999995E-7</v>
      </c>
      <c r="D59" s="714" t="str">
        <f t="shared" ref="D59:H59" si="29">W15</f>
        <v>-</v>
      </c>
      <c r="E59" s="714" t="str">
        <f t="shared" si="29"/>
        <v>-</v>
      </c>
      <c r="F59" s="714" t="str">
        <f t="shared" si="29"/>
        <v>-</v>
      </c>
      <c r="G59" s="714">
        <f t="shared" si="29"/>
        <v>9.9999999999999995E-7</v>
      </c>
      <c r="H59" s="714">
        <f t="shared" si="29"/>
        <v>9.9999999999999995E-7</v>
      </c>
      <c r="Z59" s="715"/>
      <c r="AU59" s="40"/>
    </row>
    <row r="60" spans="1:47" hidden="1" x14ac:dyDescent="0.3">
      <c r="A60" s="705"/>
      <c r="B60" s="706">
        <v>15</v>
      </c>
      <c r="C60" s="713">
        <f>V25</f>
        <v>9.9999999999999995E-7</v>
      </c>
      <c r="D60" s="714" t="str">
        <f t="shared" ref="D60:H60" si="30">W25</f>
        <v>-</v>
      </c>
      <c r="E60" s="714" t="str">
        <f t="shared" si="30"/>
        <v>-</v>
      </c>
      <c r="F60" s="714" t="str">
        <f t="shared" si="30"/>
        <v>-</v>
      </c>
      <c r="G60" s="714">
        <f t="shared" si="30"/>
        <v>9.9999999999999995E-7</v>
      </c>
      <c r="H60" s="714">
        <f t="shared" si="30"/>
        <v>9.9999999999999995E-7</v>
      </c>
      <c r="Z60" s="715"/>
      <c r="AU60" s="40"/>
    </row>
    <row r="61" spans="1:47" hidden="1" x14ac:dyDescent="0.3">
      <c r="A61" s="705"/>
      <c r="B61" s="706">
        <v>16</v>
      </c>
      <c r="C61" s="713">
        <f>V35</f>
        <v>9.9999999999999995E-7</v>
      </c>
      <c r="D61" s="714" t="str">
        <f t="shared" ref="D61:H61" si="31">W35</f>
        <v>-</v>
      </c>
      <c r="E61" s="714" t="str">
        <f t="shared" si="31"/>
        <v>-</v>
      </c>
      <c r="F61" s="714" t="str">
        <f t="shared" si="31"/>
        <v>-</v>
      </c>
      <c r="G61" s="714">
        <f t="shared" si="31"/>
        <v>9.9999999999999995E-7</v>
      </c>
      <c r="H61" s="714">
        <f t="shared" si="31"/>
        <v>9.9999999999999995E-7</v>
      </c>
      <c r="Z61" s="715"/>
      <c r="AU61" s="40"/>
    </row>
    <row r="62" spans="1:47" hidden="1" x14ac:dyDescent="0.3">
      <c r="A62" s="705">
        <v>2</v>
      </c>
      <c r="B62" s="706">
        <v>1</v>
      </c>
      <c r="C62" s="713">
        <f>A6</f>
        <v>10.02</v>
      </c>
      <c r="D62" s="714">
        <f t="shared" ref="D62:H62" si="32">B6</f>
        <v>0.02</v>
      </c>
      <c r="E62" s="714">
        <f t="shared" si="32"/>
        <v>9.9999999999999995E-7</v>
      </c>
      <c r="F62" s="714" t="str">
        <f t="shared" si="32"/>
        <v>-</v>
      </c>
      <c r="G62" s="714">
        <f t="shared" si="32"/>
        <v>9.9994999999999997E-3</v>
      </c>
      <c r="H62" s="714">
        <f t="shared" si="32"/>
        <v>1.9E-2</v>
      </c>
      <c r="Z62" s="715"/>
      <c r="AU62" s="40"/>
    </row>
    <row r="63" spans="1:47" hidden="1" x14ac:dyDescent="0.3">
      <c r="A63" s="705"/>
      <c r="B63" s="706">
        <v>2</v>
      </c>
      <c r="C63" s="713">
        <f>A16</f>
        <v>10.14</v>
      </c>
      <c r="D63" s="714">
        <f t="shared" ref="D63:H63" si="33">B16</f>
        <v>0.04</v>
      </c>
      <c r="E63" s="714" t="str">
        <f t="shared" si="33"/>
        <v>-</v>
      </c>
      <c r="F63" s="714" t="str">
        <f t="shared" si="33"/>
        <v>-</v>
      </c>
      <c r="G63" s="714">
        <f t="shared" si="33"/>
        <v>0</v>
      </c>
      <c r="H63" s="714">
        <f t="shared" si="33"/>
        <v>0.02</v>
      </c>
      <c r="Z63" s="715"/>
      <c r="AU63" s="40"/>
    </row>
    <row r="64" spans="1:47" hidden="1" x14ac:dyDescent="0.3">
      <c r="A64" s="705"/>
      <c r="B64" s="706">
        <v>3</v>
      </c>
      <c r="C64" s="713">
        <f>A26</f>
        <v>1</v>
      </c>
      <c r="D64" s="714">
        <f t="shared" ref="D64:H64" si="34">B26</f>
        <v>9.9999999999999995E-7</v>
      </c>
      <c r="E64" s="714">
        <f t="shared" si="34"/>
        <v>-0.01</v>
      </c>
      <c r="F64" s="714" t="str">
        <f t="shared" si="34"/>
        <v>-</v>
      </c>
      <c r="G64" s="714">
        <f t="shared" si="34"/>
        <v>5.0004999999999997E-3</v>
      </c>
      <c r="H64" s="714">
        <f t="shared" si="34"/>
        <v>1.1583E-2</v>
      </c>
      <c r="Z64" s="715"/>
      <c r="AU64" s="40"/>
    </row>
    <row r="65" spans="1:47" hidden="1" x14ac:dyDescent="0.3">
      <c r="A65" s="705"/>
      <c r="B65" s="706">
        <v>4</v>
      </c>
      <c r="C65" s="713">
        <f>A36</f>
        <v>5.0999999999999996</v>
      </c>
      <c r="D65" s="714">
        <f t="shared" ref="D65:H65" si="35">B36</f>
        <v>0.08</v>
      </c>
      <c r="E65" s="714" t="str">
        <f t="shared" si="35"/>
        <v>-</v>
      </c>
      <c r="F65" s="714" t="str">
        <f t="shared" si="35"/>
        <v>-</v>
      </c>
      <c r="G65" s="714">
        <f t="shared" si="35"/>
        <v>0</v>
      </c>
      <c r="H65" s="714">
        <f t="shared" si="35"/>
        <v>0.10199999999999999</v>
      </c>
      <c r="Z65" s="715"/>
      <c r="AU65" s="40"/>
    </row>
    <row r="66" spans="1:47" hidden="1" x14ac:dyDescent="0.3">
      <c r="A66" s="705"/>
      <c r="B66" s="706">
        <v>5</v>
      </c>
      <c r="C66" s="713">
        <f>H6</f>
        <v>1.97</v>
      </c>
      <c r="D66" s="714">
        <f t="shared" ref="D66:H66" si="36">I6</f>
        <v>-0.01</v>
      </c>
      <c r="E66" s="714" t="str">
        <f t="shared" si="36"/>
        <v>-</v>
      </c>
      <c r="F66" s="714" t="str">
        <f t="shared" si="36"/>
        <v>-</v>
      </c>
      <c r="G66" s="714">
        <f t="shared" si="36"/>
        <v>0</v>
      </c>
      <c r="H66" s="714">
        <f t="shared" si="36"/>
        <v>2.2735999999999999E-2</v>
      </c>
      <c r="Z66" s="715"/>
      <c r="AU66" s="40"/>
    </row>
    <row r="67" spans="1:47" hidden="1" x14ac:dyDescent="0.3">
      <c r="A67" s="705"/>
      <c r="B67" s="706">
        <v>6</v>
      </c>
      <c r="C67" s="713">
        <f>H16</f>
        <v>1.97</v>
      </c>
      <c r="D67" s="714">
        <f t="shared" ref="D67:H67" si="37">I16</f>
        <v>-0.01</v>
      </c>
      <c r="E67" s="714" t="str">
        <f t="shared" si="37"/>
        <v>-</v>
      </c>
      <c r="F67" s="714" t="str">
        <f t="shared" si="37"/>
        <v>-</v>
      </c>
      <c r="G67" s="714">
        <f t="shared" si="37"/>
        <v>0</v>
      </c>
      <c r="H67" s="714">
        <f t="shared" si="37"/>
        <v>2.2735999999999999E-2</v>
      </c>
      <c r="Z67" s="715"/>
      <c r="AU67" s="40"/>
    </row>
    <row r="68" spans="1:47" hidden="1" x14ac:dyDescent="0.3">
      <c r="A68" s="705"/>
      <c r="B68" s="706">
        <v>7</v>
      </c>
      <c r="C68" s="713">
        <f>H26</f>
        <v>1.02</v>
      </c>
      <c r="D68" s="714">
        <f t="shared" ref="D68:H68" si="38">I26</f>
        <v>9.9999999999999995E-7</v>
      </c>
      <c r="E68" s="714" t="str">
        <f t="shared" si="38"/>
        <v>-</v>
      </c>
      <c r="F68" s="714" t="str">
        <f t="shared" si="38"/>
        <v>-</v>
      </c>
      <c r="G68" s="714">
        <f t="shared" si="38"/>
        <v>0</v>
      </c>
      <c r="H68" s="714">
        <f t="shared" si="38"/>
        <v>1.183E-2</v>
      </c>
      <c r="Z68" s="715"/>
      <c r="AU68" s="40"/>
    </row>
    <row r="69" spans="1:47" hidden="1" x14ac:dyDescent="0.3">
      <c r="A69" s="705"/>
      <c r="B69" s="706">
        <v>8</v>
      </c>
      <c r="C69" s="713">
        <f>H36</f>
        <v>1.02</v>
      </c>
      <c r="D69" s="714">
        <f t="shared" ref="D69:H69" si="39">I36</f>
        <v>9.9999999999999995E-7</v>
      </c>
      <c r="E69" s="714" t="str">
        <f t="shared" si="39"/>
        <v>-</v>
      </c>
      <c r="F69" s="714" t="str">
        <f t="shared" si="39"/>
        <v>-</v>
      </c>
      <c r="G69" s="714">
        <f t="shared" si="39"/>
        <v>0</v>
      </c>
      <c r="H69" s="714">
        <f t="shared" si="39"/>
        <v>1.183E-2</v>
      </c>
      <c r="Z69" s="715"/>
      <c r="AU69" s="40"/>
    </row>
    <row r="70" spans="1:47" hidden="1" x14ac:dyDescent="0.3">
      <c r="A70" s="705"/>
      <c r="B70" s="706">
        <v>9</v>
      </c>
      <c r="C70" s="713">
        <f>O6</f>
        <v>1.04</v>
      </c>
      <c r="D70" s="714">
        <f t="shared" ref="D70:H70" si="40">P6</f>
        <v>0.01</v>
      </c>
      <c r="E70" s="714" t="str">
        <f t="shared" si="40"/>
        <v>-</v>
      </c>
      <c r="F70" s="714" t="str">
        <f t="shared" si="40"/>
        <v>-</v>
      </c>
      <c r="G70" s="714">
        <f t="shared" si="40"/>
        <v>0</v>
      </c>
      <c r="H70" s="714">
        <f t="shared" si="40"/>
        <v>1.2285000000000001E-2</v>
      </c>
      <c r="Z70" s="715"/>
      <c r="AU70" s="40"/>
    </row>
    <row r="71" spans="1:47" hidden="1" x14ac:dyDescent="0.3">
      <c r="A71" s="705"/>
      <c r="B71" s="706">
        <v>10</v>
      </c>
      <c r="C71" s="713">
        <f>O16</f>
        <v>1.98</v>
      </c>
      <c r="D71" s="714">
        <f t="shared" ref="D71:H71" si="41">P16</f>
        <v>9.9999999999999995E-7</v>
      </c>
      <c r="E71" s="714" t="str">
        <f t="shared" si="41"/>
        <v>-</v>
      </c>
      <c r="F71" s="714" t="str">
        <f t="shared" si="41"/>
        <v>-</v>
      </c>
      <c r="G71" s="714">
        <f t="shared" si="41"/>
        <v>0</v>
      </c>
      <c r="H71" s="714">
        <f t="shared" si="41"/>
        <v>0.11</v>
      </c>
      <c r="Z71" s="715"/>
      <c r="AU71" s="40"/>
    </row>
    <row r="72" spans="1:47" hidden="1" x14ac:dyDescent="0.3">
      <c r="A72" s="705"/>
      <c r="B72" s="706">
        <v>11</v>
      </c>
      <c r="C72" s="713">
        <f>O26</f>
        <v>1.95</v>
      </c>
      <c r="D72" s="714">
        <f t="shared" ref="D72:H72" si="42">P26</f>
        <v>-0.02</v>
      </c>
      <c r="E72" s="714" t="str">
        <f t="shared" si="42"/>
        <v>-</v>
      </c>
      <c r="F72" s="714" t="str">
        <f t="shared" si="42"/>
        <v>-</v>
      </c>
      <c r="G72" s="714">
        <f t="shared" si="42"/>
        <v>0</v>
      </c>
      <c r="H72" s="714">
        <f t="shared" si="42"/>
        <v>0.11</v>
      </c>
      <c r="Z72" s="715"/>
      <c r="AU72" s="40"/>
    </row>
    <row r="73" spans="1:47" hidden="1" x14ac:dyDescent="0.3">
      <c r="A73" s="705"/>
      <c r="B73" s="706">
        <v>12</v>
      </c>
      <c r="C73" s="713">
        <f>O36</f>
        <v>9.9999999999999995E-7</v>
      </c>
      <c r="D73" s="714" t="str">
        <f t="shared" ref="D73:H73" si="43">P36</f>
        <v>-</v>
      </c>
      <c r="E73" s="714" t="str">
        <f t="shared" si="43"/>
        <v>-</v>
      </c>
      <c r="F73" s="714" t="str">
        <f t="shared" si="43"/>
        <v>-</v>
      </c>
      <c r="G73" s="714">
        <f t="shared" si="43"/>
        <v>0</v>
      </c>
      <c r="H73" s="714">
        <f t="shared" si="43"/>
        <v>9.9999999999999995E-7</v>
      </c>
      <c r="Z73" s="715"/>
      <c r="AU73" s="40"/>
    </row>
    <row r="74" spans="1:47" hidden="1" x14ac:dyDescent="0.3">
      <c r="A74" s="705"/>
      <c r="B74" s="706">
        <v>13</v>
      </c>
      <c r="C74" s="713">
        <f>V6</f>
        <v>9.9999999999999995E-7</v>
      </c>
      <c r="D74" s="714" t="str">
        <f t="shared" ref="D74:H74" si="44">W6</f>
        <v>-</v>
      </c>
      <c r="E74" s="714" t="str">
        <f t="shared" si="44"/>
        <v>-</v>
      </c>
      <c r="F74" s="714" t="str">
        <f t="shared" si="44"/>
        <v>-</v>
      </c>
      <c r="G74" s="714">
        <f t="shared" si="44"/>
        <v>0</v>
      </c>
      <c r="H74" s="714">
        <f t="shared" si="44"/>
        <v>9.9999999999999995E-7</v>
      </c>
      <c r="Z74" s="715"/>
      <c r="AU74" s="40"/>
    </row>
    <row r="75" spans="1:47" hidden="1" x14ac:dyDescent="0.3">
      <c r="A75" s="705"/>
      <c r="B75" s="706">
        <v>14</v>
      </c>
      <c r="C75" s="713">
        <f>V16</f>
        <v>9.9999999999999995E-7</v>
      </c>
      <c r="D75" s="714" t="str">
        <f t="shared" ref="D75:H75" si="45">W16</f>
        <v>-</v>
      </c>
      <c r="E75" s="714" t="str">
        <f t="shared" si="45"/>
        <v>-</v>
      </c>
      <c r="F75" s="714" t="str">
        <f t="shared" si="45"/>
        <v>-</v>
      </c>
      <c r="G75" s="714">
        <f t="shared" si="45"/>
        <v>0</v>
      </c>
      <c r="H75" s="714">
        <f t="shared" si="45"/>
        <v>9.9999999999999995E-7</v>
      </c>
      <c r="Z75" s="715"/>
      <c r="AU75" s="40"/>
    </row>
    <row r="76" spans="1:47" hidden="1" x14ac:dyDescent="0.3">
      <c r="A76" s="705"/>
      <c r="B76" s="706">
        <v>15</v>
      </c>
      <c r="C76" s="713">
        <f>V26</f>
        <v>9.9999999999999995E-7</v>
      </c>
      <c r="D76" s="714" t="str">
        <f t="shared" ref="D76:H76" si="46">W26</f>
        <v>-</v>
      </c>
      <c r="E76" s="714" t="str">
        <f t="shared" si="46"/>
        <v>-</v>
      </c>
      <c r="F76" s="714" t="str">
        <f t="shared" si="46"/>
        <v>-</v>
      </c>
      <c r="G76" s="714">
        <f t="shared" si="46"/>
        <v>0</v>
      </c>
      <c r="H76" s="714">
        <f t="shared" si="46"/>
        <v>9.9999999999999995E-7</v>
      </c>
      <c r="Z76" s="715"/>
      <c r="AU76" s="40"/>
    </row>
    <row r="77" spans="1:47" hidden="1" x14ac:dyDescent="0.3">
      <c r="A77" s="705"/>
      <c r="B77" s="706">
        <v>16</v>
      </c>
      <c r="C77" s="713">
        <f>V36</f>
        <v>9.9999999999999995E-7</v>
      </c>
      <c r="D77" s="714" t="str">
        <f t="shared" ref="D77:H77" si="47">W36</f>
        <v>-</v>
      </c>
      <c r="E77" s="714" t="str">
        <f t="shared" si="47"/>
        <v>-</v>
      </c>
      <c r="F77" s="714" t="str">
        <f t="shared" si="47"/>
        <v>-</v>
      </c>
      <c r="G77" s="714">
        <f t="shared" si="47"/>
        <v>0</v>
      </c>
      <c r="H77" s="714">
        <f t="shared" si="47"/>
        <v>9.9999999999999995E-7</v>
      </c>
      <c r="Z77" s="715"/>
      <c r="AU77" s="40"/>
    </row>
    <row r="78" spans="1:47" hidden="1" x14ac:dyDescent="0.3">
      <c r="A78" s="705">
        <v>3</v>
      </c>
      <c r="B78" s="706">
        <v>1</v>
      </c>
      <c r="C78" s="707">
        <f>A7</f>
        <v>19.96</v>
      </c>
      <c r="D78" s="708">
        <f t="shared" ref="D78:H78" si="48">B7</f>
        <v>0.06</v>
      </c>
      <c r="E78" s="708">
        <f t="shared" si="48"/>
        <v>9.9999999999999995E-7</v>
      </c>
      <c r="F78" s="708" t="str">
        <f t="shared" si="48"/>
        <v>-</v>
      </c>
      <c r="G78" s="708">
        <f t="shared" si="48"/>
        <v>2.9999499999999998E-2</v>
      </c>
      <c r="H78" s="708">
        <f t="shared" si="48"/>
        <v>1.9E-2</v>
      </c>
      <c r="Z78" s="715"/>
      <c r="AU78" s="40"/>
    </row>
    <row r="79" spans="1:47" hidden="1" x14ac:dyDescent="0.3">
      <c r="A79" s="705"/>
      <c r="B79" s="706">
        <v>2</v>
      </c>
      <c r="C79" s="707">
        <f>A17</f>
        <v>15.22</v>
      </c>
      <c r="D79" s="708">
        <f t="shared" ref="D79:H79" si="49">B17</f>
        <v>0.12</v>
      </c>
      <c r="E79" s="708" t="str">
        <f t="shared" si="49"/>
        <v>-</v>
      </c>
      <c r="F79" s="708" t="str">
        <f t="shared" si="49"/>
        <v>-</v>
      </c>
      <c r="G79" s="708">
        <f t="shared" si="49"/>
        <v>0</v>
      </c>
      <c r="H79" s="708">
        <f t="shared" si="49"/>
        <v>0.02</v>
      </c>
      <c r="Z79" s="715"/>
      <c r="AU79" s="40"/>
    </row>
    <row r="80" spans="1:47" hidden="1" x14ac:dyDescent="0.3">
      <c r="A80" s="705"/>
      <c r="B80" s="706">
        <v>3</v>
      </c>
      <c r="C80" s="707">
        <f>A27</f>
        <v>8.1300000000000008</v>
      </c>
      <c r="D80" s="708">
        <f t="shared" ref="D80:H80" si="50">B27</f>
        <v>0.02</v>
      </c>
      <c r="E80" s="708">
        <f t="shared" si="50"/>
        <v>0.02</v>
      </c>
      <c r="F80" s="708" t="str">
        <f t="shared" si="50"/>
        <v>-</v>
      </c>
      <c r="G80" s="708">
        <f t="shared" si="50"/>
        <v>0</v>
      </c>
      <c r="H80" s="708">
        <f t="shared" si="50"/>
        <v>9.3716999999999995E-2</v>
      </c>
      <c r="Z80" s="715"/>
      <c r="AU80" s="40"/>
    </row>
    <row r="81" spans="1:47" hidden="1" x14ac:dyDescent="0.3">
      <c r="A81" s="705"/>
      <c r="B81" s="706">
        <v>4</v>
      </c>
      <c r="C81" s="707">
        <f>A37</f>
        <v>10.1</v>
      </c>
      <c r="D81" s="708">
        <f t="shared" ref="D81:H81" si="51">B37</f>
        <v>0.1</v>
      </c>
      <c r="E81" s="708" t="str">
        <f t="shared" si="51"/>
        <v>-</v>
      </c>
      <c r="F81" s="708" t="str">
        <f t="shared" si="51"/>
        <v>-</v>
      </c>
      <c r="G81" s="708">
        <f t="shared" si="51"/>
        <v>0</v>
      </c>
      <c r="H81" s="708">
        <f t="shared" si="51"/>
        <v>0.20200000000000001</v>
      </c>
      <c r="Z81" s="712"/>
      <c r="AU81" s="40"/>
    </row>
    <row r="82" spans="1:47" hidden="1" x14ac:dyDescent="0.3">
      <c r="A82" s="705"/>
      <c r="B82" s="706">
        <v>5</v>
      </c>
      <c r="C82" s="707">
        <f>H7</f>
        <v>7.97</v>
      </c>
      <c r="D82" s="708">
        <f t="shared" ref="D82:H82" si="52">I7</f>
        <v>9.9999999999999995E-7</v>
      </c>
      <c r="E82" s="708" t="str">
        <f t="shared" si="52"/>
        <v>-</v>
      </c>
      <c r="F82" s="708" t="str">
        <f t="shared" si="52"/>
        <v>-</v>
      </c>
      <c r="G82" s="708">
        <f t="shared" si="52"/>
        <v>0</v>
      </c>
      <c r="H82" s="708">
        <f t="shared" si="52"/>
        <v>9.2452000000000006E-2</v>
      </c>
      <c r="Z82" s="712"/>
      <c r="AU82" s="40"/>
    </row>
    <row r="83" spans="1:47" hidden="1" x14ac:dyDescent="0.3">
      <c r="A83" s="705"/>
      <c r="B83" s="706">
        <v>6</v>
      </c>
      <c r="C83" s="707">
        <f>H17</f>
        <v>7.97</v>
      </c>
      <c r="D83" s="708">
        <f t="shared" ref="D83:H83" si="53">I17</f>
        <v>0.02</v>
      </c>
      <c r="E83" s="708" t="str">
        <f t="shared" si="53"/>
        <v>-</v>
      </c>
      <c r="F83" s="708" t="str">
        <f t="shared" si="53"/>
        <v>-</v>
      </c>
      <c r="G83" s="708">
        <f t="shared" si="53"/>
        <v>0</v>
      </c>
      <c r="H83" s="708">
        <f t="shared" si="53"/>
        <v>9.2452000000000006E-2</v>
      </c>
      <c r="Z83" s="712"/>
      <c r="AU83" s="40"/>
    </row>
    <row r="84" spans="1:47" hidden="1" x14ac:dyDescent="0.3">
      <c r="A84" s="705"/>
      <c r="B84" s="706">
        <v>7</v>
      </c>
      <c r="C84" s="707">
        <f>H27</f>
        <v>8.1</v>
      </c>
      <c r="D84" s="708">
        <f t="shared" ref="D84:H84" si="54">I27</f>
        <v>-0.02</v>
      </c>
      <c r="E84" s="708" t="str">
        <f t="shared" si="54"/>
        <v>-</v>
      </c>
      <c r="F84" s="708" t="str">
        <f t="shared" si="54"/>
        <v>-</v>
      </c>
      <c r="G84" s="708">
        <f t="shared" si="54"/>
        <v>0</v>
      </c>
      <c r="H84" s="708">
        <f t="shared" si="54"/>
        <v>9.3728000000000006E-2</v>
      </c>
      <c r="Z84" s="712"/>
      <c r="AU84" s="40"/>
    </row>
    <row r="85" spans="1:47" hidden="1" x14ac:dyDescent="0.3">
      <c r="A85" s="705"/>
      <c r="B85" s="706">
        <v>8</v>
      </c>
      <c r="C85" s="713">
        <f>H37</f>
        <v>8.1</v>
      </c>
      <c r="D85" s="714">
        <f t="shared" ref="D85:H85" si="55">I37</f>
        <v>0.01</v>
      </c>
      <c r="E85" s="714" t="str">
        <f t="shared" si="55"/>
        <v>-</v>
      </c>
      <c r="F85" s="714" t="str">
        <f t="shared" si="55"/>
        <v>-</v>
      </c>
      <c r="G85" s="714">
        <f t="shared" si="55"/>
        <v>0</v>
      </c>
      <c r="H85" s="714">
        <f t="shared" si="55"/>
        <v>9.4076000000000007E-2</v>
      </c>
      <c r="Z85" s="712"/>
      <c r="AU85" s="40"/>
    </row>
    <row r="86" spans="1:47" hidden="1" x14ac:dyDescent="0.3">
      <c r="A86" s="705"/>
      <c r="B86" s="706">
        <v>9</v>
      </c>
      <c r="C86" s="713">
        <f>O7</f>
        <v>8.2100000000000009</v>
      </c>
      <c r="D86" s="714">
        <f t="shared" ref="D86:H86" si="56">P7</f>
        <v>0.02</v>
      </c>
      <c r="E86" s="714" t="str">
        <f t="shared" si="56"/>
        <v>-</v>
      </c>
      <c r="F86" s="714" t="str">
        <f t="shared" si="56"/>
        <v>-</v>
      </c>
      <c r="G86" s="714">
        <f t="shared" si="56"/>
        <v>0</v>
      </c>
      <c r="H86" s="714">
        <f t="shared" si="56"/>
        <v>9.6291000000000002E-2</v>
      </c>
      <c r="Z86" s="712"/>
      <c r="AU86" s="40"/>
    </row>
    <row r="87" spans="1:47" hidden="1" x14ac:dyDescent="0.3">
      <c r="A87" s="705"/>
      <c r="B87" s="706">
        <v>10</v>
      </c>
      <c r="C87" s="713">
        <f>O17</f>
        <v>2.97</v>
      </c>
      <c r="D87" s="714">
        <f t="shared" ref="D87:H87" si="57">P17</f>
        <v>9.9999999999999995E-7</v>
      </c>
      <c r="E87" s="714" t="str">
        <f t="shared" si="57"/>
        <v>-</v>
      </c>
      <c r="F87" s="714" t="str">
        <f t="shared" si="57"/>
        <v>-</v>
      </c>
      <c r="G87" s="714">
        <f t="shared" si="57"/>
        <v>0</v>
      </c>
      <c r="H87" s="714">
        <f t="shared" si="57"/>
        <v>0.12</v>
      </c>
      <c r="Z87" s="712"/>
      <c r="AU87" s="40"/>
    </row>
    <row r="88" spans="1:47" hidden="1" x14ac:dyDescent="0.3">
      <c r="A88" s="705"/>
      <c r="B88" s="706">
        <v>11</v>
      </c>
      <c r="C88" s="713">
        <f>O27</f>
        <v>2.96</v>
      </c>
      <c r="D88" s="714">
        <f t="shared" ref="D88:H88" si="58">P27</f>
        <v>-0.03</v>
      </c>
      <c r="E88" s="714" t="str">
        <f t="shared" si="58"/>
        <v>-</v>
      </c>
      <c r="F88" s="714" t="str">
        <f t="shared" si="58"/>
        <v>-</v>
      </c>
      <c r="G88" s="714">
        <f t="shared" si="58"/>
        <v>0</v>
      </c>
      <c r="H88" s="714">
        <f t="shared" si="58"/>
        <v>0.12</v>
      </c>
      <c r="Z88" s="715"/>
      <c r="AU88" s="40"/>
    </row>
    <row r="89" spans="1:47" hidden="1" x14ac:dyDescent="0.3">
      <c r="A89" s="705"/>
      <c r="B89" s="706">
        <v>12</v>
      </c>
      <c r="C89" s="713">
        <f>O37</f>
        <v>9.9999999999999995E-7</v>
      </c>
      <c r="D89" s="714" t="str">
        <f t="shared" ref="D89:H89" si="59">P37</f>
        <v>-</v>
      </c>
      <c r="E89" s="714" t="str">
        <f t="shared" si="59"/>
        <v>-</v>
      </c>
      <c r="F89" s="714" t="str">
        <f t="shared" si="59"/>
        <v>-</v>
      </c>
      <c r="G89" s="714">
        <f t="shared" si="59"/>
        <v>0</v>
      </c>
      <c r="H89" s="714">
        <f t="shared" si="59"/>
        <v>9.9999999999999995E-7</v>
      </c>
      <c r="Z89" s="715"/>
      <c r="AU89" s="40"/>
    </row>
    <row r="90" spans="1:47" hidden="1" x14ac:dyDescent="0.3">
      <c r="A90" s="705"/>
      <c r="B90" s="706">
        <v>13</v>
      </c>
      <c r="C90" s="707">
        <f>V7</f>
        <v>9.9999999999999995E-7</v>
      </c>
      <c r="D90" s="708" t="str">
        <f t="shared" ref="D90:H90" si="60">W7</f>
        <v>-</v>
      </c>
      <c r="E90" s="708" t="str">
        <f t="shared" si="60"/>
        <v>-</v>
      </c>
      <c r="F90" s="708" t="str">
        <f t="shared" si="60"/>
        <v>-</v>
      </c>
      <c r="G90" s="708">
        <f t="shared" si="60"/>
        <v>0</v>
      </c>
      <c r="H90" s="708">
        <f t="shared" si="60"/>
        <v>9.9999999999999995E-7</v>
      </c>
      <c r="Z90" s="715"/>
      <c r="AU90" s="40"/>
    </row>
    <row r="91" spans="1:47" hidden="1" x14ac:dyDescent="0.3">
      <c r="A91" s="705"/>
      <c r="B91" s="706">
        <v>14</v>
      </c>
      <c r="C91" s="707">
        <f>V17</f>
        <v>9.9999999999999995E-7</v>
      </c>
      <c r="D91" s="708" t="str">
        <f t="shared" ref="D91:H91" si="61">W17</f>
        <v>-</v>
      </c>
      <c r="E91" s="708" t="str">
        <f t="shared" si="61"/>
        <v>-</v>
      </c>
      <c r="F91" s="708" t="str">
        <f t="shared" si="61"/>
        <v>-</v>
      </c>
      <c r="G91" s="708">
        <f t="shared" si="61"/>
        <v>0</v>
      </c>
      <c r="H91" s="708">
        <f t="shared" si="61"/>
        <v>9.9999999999999995E-7</v>
      </c>
      <c r="Z91" s="715"/>
      <c r="AU91" s="40"/>
    </row>
    <row r="92" spans="1:47" hidden="1" x14ac:dyDescent="0.3">
      <c r="A92" s="705"/>
      <c r="B92" s="706">
        <v>15</v>
      </c>
      <c r="C92" s="707">
        <f>V27</f>
        <v>9.9999999999999995E-7</v>
      </c>
      <c r="D92" s="708" t="str">
        <f t="shared" ref="D92:H92" si="62">W27</f>
        <v>-</v>
      </c>
      <c r="E92" s="708" t="str">
        <f t="shared" si="62"/>
        <v>-</v>
      </c>
      <c r="F92" s="708" t="str">
        <f t="shared" si="62"/>
        <v>-</v>
      </c>
      <c r="G92" s="708">
        <f t="shared" si="62"/>
        <v>0</v>
      </c>
      <c r="H92" s="708">
        <f t="shared" si="62"/>
        <v>9.9999999999999995E-7</v>
      </c>
      <c r="Z92" s="715"/>
      <c r="AU92" s="40"/>
    </row>
    <row r="93" spans="1:47" hidden="1" x14ac:dyDescent="0.3">
      <c r="A93" s="705"/>
      <c r="B93" s="706">
        <v>16</v>
      </c>
      <c r="C93" s="707">
        <f>V37</f>
        <v>9.9999999999999995E-7</v>
      </c>
      <c r="D93" s="708" t="str">
        <f t="shared" ref="D93:H93" si="63">W37</f>
        <v>-</v>
      </c>
      <c r="E93" s="708" t="str">
        <f t="shared" si="63"/>
        <v>-</v>
      </c>
      <c r="F93" s="708" t="str">
        <f t="shared" si="63"/>
        <v>-</v>
      </c>
      <c r="G93" s="708">
        <f t="shared" si="63"/>
        <v>0</v>
      </c>
      <c r="H93" s="708">
        <f t="shared" si="63"/>
        <v>9.9999999999999995E-7</v>
      </c>
      <c r="Z93" s="716"/>
      <c r="AU93" s="40"/>
    </row>
    <row r="94" spans="1:47" hidden="1" x14ac:dyDescent="0.3">
      <c r="A94" s="705">
        <v>4</v>
      </c>
      <c r="B94" s="706">
        <v>1</v>
      </c>
      <c r="C94" s="707">
        <f>A8</f>
        <v>30.1</v>
      </c>
      <c r="D94" s="708">
        <f t="shared" ref="D94:H94" si="64">B8</f>
        <v>0.1</v>
      </c>
      <c r="E94" s="708">
        <f t="shared" si="64"/>
        <v>9.9999999999999995E-7</v>
      </c>
      <c r="F94" s="708" t="str">
        <f t="shared" si="64"/>
        <v>-</v>
      </c>
      <c r="G94" s="708">
        <f t="shared" si="64"/>
        <v>4.9999500000000002E-2</v>
      </c>
      <c r="H94" s="708">
        <f t="shared" si="64"/>
        <v>1.9E-2</v>
      </c>
      <c r="Z94" s="716"/>
      <c r="AU94" s="40"/>
    </row>
    <row r="95" spans="1:47" hidden="1" x14ac:dyDescent="0.3">
      <c r="A95" s="705"/>
      <c r="B95" s="706">
        <v>2</v>
      </c>
      <c r="C95" s="707">
        <f>A18</f>
        <v>20.440000000000001</v>
      </c>
      <c r="D95" s="708">
        <f t="shared" ref="D95:H95" si="65">B18</f>
        <v>0.24</v>
      </c>
      <c r="E95" s="708" t="str">
        <f t="shared" si="65"/>
        <v>-</v>
      </c>
      <c r="F95" s="708" t="str">
        <f t="shared" si="65"/>
        <v>-</v>
      </c>
      <c r="G95" s="708">
        <f t="shared" si="65"/>
        <v>0</v>
      </c>
      <c r="H95" s="708">
        <f t="shared" si="65"/>
        <v>0.02</v>
      </c>
      <c r="Z95" s="716"/>
      <c r="AU95" s="40"/>
    </row>
    <row r="96" spans="1:47" hidden="1" x14ac:dyDescent="0.3">
      <c r="A96" s="705"/>
      <c r="B96" s="706">
        <v>3</v>
      </c>
      <c r="C96" s="707">
        <f>A28</f>
        <v>17.809999999999999</v>
      </c>
      <c r="D96" s="708">
        <f t="shared" ref="D96:H96" si="66">B28</f>
        <v>0</v>
      </c>
      <c r="E96" s="708">
        <f t="shared" si="66"/>
        <v>-0.04</v>
      </c>
      <c r="F96" s="708" t="str">
        <f t="shared" si="66"/>
        <v>-</v>
      </c>
      <c r="G96" s="708">
        <f t="shared" si="66"/>
        <v>0.02</v>
      </c>
      <c r="H96" s="708">
        <f t="shared" si="66"/>
        <v>0.21001500000000001</v>
      </c>
      <c r="Z96" s="716"/>
      <c r="AU96" s="40"/>
    </row>
    <row r="97" spans="1:47" hidden="1" x14ac:dyDescent="0.3">
      <c r="A97" s="705"/>
      <c r="B97" s="706">
        <v>4</v>
      </c>
      <c r="C97" s="713">
        <f>A38</f>
        <v>50.52</v>
      </c>
      <c r="D97" s="714">
        <f t="shared" ref="D97:H97" si="67">B38</f>
        <v>0.32</v>
      </c>
      <c r="E97" s="714" t="str">
        <f t="shared" si="67"/>
        <v>-</v>
      </c>
      <c r="F97" s="714" t="str">
        <f t="shared" si="67"/>
        <v>-</v>
      </c>
      <c r="G97" s="714">
        <f t="shared" si="67"/>
        <v>0</v>
      </c>
      <c r="H97" s="714">
        <f t="shared" si="67"/>
        <v>1.7000000000000001E-2</v>
      </c>
      <c r="Z97" s="716"/>
      <c r="AU97" s="40"/>
    </row>
    <row r="98" spans="1:47" hidden="1" x14ac:dyDescent="0.3">
      <c r="A98" s="705"/>
      <c r="B98" s="706">
        <v>5</v>
      </c>
      <c r="C98" s="713">
        <f>H8</f>
        <v>19.829999999999998</v>
      </c>
      <c r="D98" s="714">
        <f t="shared" ref="D98:H98" si="68">I8</f>
        <v>0.06</v>
      </c>
      <c r="E98" s="714" t="str">
        <f t="shared" si="68"/>
        <v>-</v>
      </c>
      <c r="F98" s="714" t="str">
        <f t="shared" si="68"/>
        <v>-</v>
      </c>
      <c r="G98" s="714">
        <f t="shared" si="68"/>
        <v>0</v>
      </c>
      <c r="H98" s="714">
        <f t="shared" si="68"/>
        <v>0.23072400000000001</v>
      </c>
      <c r="Z98" s="716"/>
      <c r="AU98" s="40"/>
    </row>
    <row r="99" spans="1:47" hidden="1" x14ac:dyDescent="0.3">
      <c r="A99" s="705"/>
      <c r="B99" s="706">
        <v>6</v>
      </c>
      <c r="C99" s="713">
        <f>H18</f>
        <v>19.829999999999998</v>
      </c>
      <c r="D99" s="714">
        <f t="shared" ref="D99:H99" si="69">I18</f>
        <v>0.09</v>
      </c>
      <c r="E99" s="714" t="str">
        <f t="shared" si="69"/>
        <v>-</v>
      </c>
      <c r="F99" s="714" t="str">
        <f t="shared" si="69"/>
        <v>-</v>
      </c>
      <c r="G99" s="714">
        <f t="shared" si="69"/>
        <v>0</v>
      </c>
      <c r="H99" s="714">
        <f t="shared" si="69"/>
        <v>0.23002800000000001</v>
      </c>
      <c r="Z99" s="712"/>
      <c r="AU99" s="40"/>
    </row>
    <row r="100" spans="1:47" hidden="1" x14ac:dyDescent="0.3">
      <c r="A100" s="705"/>
      <c r="B100" s="706">
        <v>7</v>
      </c>
      <c r="C100" s="713">
        <f>H28</f>
        <v>17.760000000000002</v>
      </c>
      <c r="D100" s="714">
        <f t="shared" ref="D100:H100" si="70">I28</f>
        <v>-0.02</v>
      </c>
      <c r="E100" s="714" t="str">
        <f t="shared" si="70"/>
        <v>-</v>
      </c>
      <c r="F100" s="714" t="str">
        <f t="shared" si="70"/>
        <v>-</v>
      </c>
      <c r="G100" s="714">
        <f t="shared" si="70"/>
        <v>0</v>
      </c>
      <c r="H100" s="714">
        <f t="shared" si="70"/>
        <v>0.20578399999999999</v>
      </c>
      <c r="Z100" s="715"/>
      <c r="AU100" s="40"/>
    </row>
    <row r="101" spans="1:47" hidden="1" x14ac:dyDescent="0.3">
      <c r="A101" s="705"/>
      <c r="B101" s="706">
        <v>8</v>
      </c>
      <c r="C101" s="713">
        <f>H38</f>
        <v>17.760000000000002</v>
      </c>
      <c r="D101" s="714">
        <f t="shared" ref="D101:H101" si="71">I38</f>
        <v>0</v>
      </c>
      <c r="E101" s="714" t="str">
        <f t="shared" si="71"/>
        <v>-</v>
      </c>
      <c r="F101" s="714" t="str">
        <f t="shared" si="71"/>
        <v>-</v>
      </c>
      <c r="G101" s="714">
        <f t="shared" si="71"/>
        <v>0</v>
      </c>
      <c r="H101" s="714">
        <f t="shared" si="71"/>
        <v>0.206016</v>
      </c>
      <c r="Z101" s="715"/>
      <c r="AU101" s="40"/>
    </row>
    <row r="102" spans="1:47" hidden="1" x14ac:dyDescent="0.3">
      <c r="A102" s="705"/>
      <c r="B102" s="706">
        <v>9</v>
      </c>
      <c r="C102" s="707">
        <f>O8</f>
        <v>17.920000000000002</v>
      </c>
      <c r="D102" s="708">
        <f t="shared" ref="D102:H102" si="72">P8</f>
        <v>7.0000000000000007E-2</v>
      </c>
      <c r="E102" s="708" t="str">
        <f t="shared" si="72"/>
        <v>-</v>
      </c>
      <c r="F102" s="708" t="str">
        <f t="shared" si="72"/>
        <v>-</v>
      </c>
      <c r="G102" s="708">
        <f t="shared" si="72"/>
        <v>0</v>
      </c>
      <c r="H102" s="708">
        <f t="shared" si="72"/>
        <v>0.210483</v>
      </c>
      <c r="Z102" s="715"/>
      <c r="AU102" s="40"/>
    </row>
    <row r="103" spans="1:47" hidden="1" x14ac:dyDescent="0.3">
      <c r="A103" s="705"/>
      <c r="B103" s="706">
        <v>10</v>
      </c>
      <c r="C103" s="707">
        <f>O18</f>
        <v>4.95</v>
      </c>
      <c r="D103" s="708">
        <f t="shared" ref="D103:H103" si="73">P18</f>
        <v>9.9999999999999995E-7</v>
      </c>
      <c r="E103" s="708" t="str">
        <f t="shared" si="73"/>
        <v>-</v>
      </c>
      <c r="F103" s="708" t="str">
        <f t="shared" si="73"/>
        <v>-</v>
      </c>
      <c r="G103" s="708">
        <f t="shared" si="73"/>
        <v>0</v>
      </c>
      <c r="H103" s="708">
        <f t="shared" si="73"/>
        <v>0.16</v>
      </c>
      <c r="Z103" s="715"/>
      <c r="AU103" s="40"/>
    </row>
    <row r="104" spans="1:47" hidden="1" x14ac:dyDescent="0.3">
      <c r="A104" s="705"/>
      <c r="B104" s="706">
        <v>11</v>
      </c>
      <c r="C104" s="707">
        <f>O28</f>
        <v>4.9400000000000004</v>
      </c>
      <c r="D104" s="708">
        <f t="shared" ref="D104:H104" si="74">P28</f>
        <v>-0.04</v>
      </c>
      <c r="E104" s="708" t="str">
        <f t="shared" si="74"/>
        <v>-</v>
      </c>
      <c r="F104" s="708" t="str">
        <f t="shared" si="74"/>
        <v>-</v>
      </c>
      <c r="G104" s="708">
        <f t="shared" si="74"/>
        <v>0</v>
      </c>
      <c r="H104" s="708">
        <f t="shared" si="74"/>
        <v>0.16</v>
      </c>
      <c r="Z104" s="715"/>
      <c r="AU104" s="40"/>
    </row>
    <row r="105" spans="1:47" hidden="1" x14ac:dyDescent="0.3">
      <c r="A105" s="705"/>
      <c r="B105" s="706">
        <v>12</v>
      </c>
      <c r="C105" s="707">
        <f>O38</f>
        <v>9.9999999999999995E-7</v>
      </c>
      <c r="D105" s="708" t="str">
        <f t="shared" ref="D105:H105" si="75">P38</f>
        <v>-</v>
      </c>
      <c r="E105" s="708" t="str">
        <f t="shared" si="75"/>
        <v>-</v>
      </c>
      <c r="F105" s="708" t="str">
        <f t="shared" si="75"/>
        <v>-</v>
      </c>
      <c r="G105" s="708">
        <f t="shared" si="75"/>
        <v>0</v>
      </c>
      <c r="H105" s="708">
        <f t="shared" si="75"/>
        <v>9.9999999999999995E-7</v>
      </c>
      <c r="Z105" s="716"/>
      <c r="AU105" s="40"/>
    </row>
    <row r="106" spans="1:47" hidden="1" x14ac:dyDescent="0.3">
      <c r="A106" s="705"/>
      <c r="B106" s="706">
        <v>13</v>
      </c>
      <c r="C106" s="707">
        <f>V8</f>
        <v>9.9999999999999995E-7</v>
      </c>
      <c r="D106" s="708" t="str">
        <f t="shared" ref="D106:H106" si="76">W8</f>
        <v>-</v>
      </c>
      <c r="E106" s="708" t="str">
        <f t="shared" si="76"/>
        <v>-</v>
      </c>
      <c r="F106" s="708" t="str">
        <f t="shared" si="76"/>
        <v>-</v>
      </c>
      <c r="G106" s="708">
        <f t="shared" si="76"/>
        <v>0</v>
      </c>
      <c r="H106" s="708">
        <f t="shared" si="76"/>
        <v>9.9999999999999995E-7</v>
      </c>
      <c r="Z106" s="716"/>
      <c r="AU106" s="40"/>
    </row>
    <row r="107" spans="1:47" hidden="1" x14ac:dyDescent="0.3">
      <c r="A107" s="705"/>
      <c r="B107" s="706">
        <v>14</v>
      </c>
      <c r="C107" s="707">
        <f>V18</f>
        <v>9.9999999999999995E-7</v>
      </c>
      <c r="D107" s="708" t="str">
        <f t="shared" ref="D107:H107" si="77">W18</f>
        <v>-</v>
      </c>
      <c r="E107" s="708" t="str">
        <f t="shared" si="77"/>
        <v>-</v>
      </c>
      <c r="F107" s="708" t="str">
        <f t="shared" si="77"/>
        <v>-</v>
      </c>
      <c r="G107" s="708">
        <f t="shared" si="77"/>
        <v>0</v>
      </c>
      <c r="H107" s="708">
        <f t="shared" si="77"/>
        <v>9.9999999999999995E-7</v>
      </c>
      <c r="Z107" s="716"/>
      <c r="AU107" s="40"/>
    </row>
    <row r="108" spans="1:47" hidden="1" x14ac:dyDescent="0.3">
      <c r="A108" s="705"/>
      <c r="B108" s="706">
        <v>15</v>
      </c>
      <c r="C108" s="707">
        <f>V28</f>
        <v>9.9999999999999995E-7</v>
      </c>
      <c r="D108" s="708" t="str">
        <f t="shared" ref="D108:H108" si="78">W28</f>
        <v>-</v>
      </c>
      <c r="E108" s="708" t="str">
        <f t="shared" si="78"/>
        <v>-</v>
      </c>
      <c r="F108" s="708" t="str">
        <f t="shared" si="78"/>
        <v>-</v>
      </c>
      <c r="G108" s="708">
        <f t="shared" si="78"/>
        <v>0</v>
      </c>
      <c r="H108" s="708">
        <f t="shared" si="78"/>
        <v>9.9999999999999995E-7</v>
      </c>
      <c r="Z108" s="716"/>
      <c r="AU108" s="40"/>
    </row>
    <row r="109" spans="1:47" hidden="1" x14ac:dyDescent="0.3">
      <c r="A109" s="705"/>
      <c r="B109" s="706">
        <v>16</v>
      </c>
      <c r="C109" s="713">
        <f>V38</f>
        <v>9.9999999999999995E-7</v>
      </c>
      <c r="D109" s="714" t="str">
        <f t="shared" ref="D109:H109" si="79">W38</f>
        <v>-</v>
      </c>
      <c r="E109" s="714" t="str">
        <f t="shared" si="79"/>
        <v>-</v>
      </c>
      <c r="F109" s="714" t="str">
        <f t="shared" si="79"/>
        <v>-</v>
      </c>
      <c r="G109" s="714">
        <f t="shared" si="79"/>
        <v>0</v>
      </c>
      <c r="H109" s="714">
        <f t="shared" si="79"/>
        <v>9.9999999999999995E-7</v>
      </c>
      <c r="Z109" s="716"/>
      <c r="AU109" s="40"/>
    </row>
    <row r="110" spans="1:47" hidden="1" x14ac:dyDescent="0.3">
      <c r="A110" s="705">
        <v>5</v>
      </c>
      <c r="B110" s="706">
        <v>1</v>
      </c>
      <c r="C110" s="713">
        <f>A9</f>
        <v>51.11</v>
      </c>
      <c r="D110" s="714">
        <f t="shared" ref="D110:H110" si="80">B9</f>
        <v>0.11</v>
      </c>
      <c r="E110" s="714">
        <f t="shared" si="80"/>
        <v>0.31</v>
      </c>
      <c r="F110" s="714" t="str">
        <f t="shared" si="80"/>
        <v>-</v>
      </c>
      <c r="G110" s="714">
        <f t="shared" si="80"/>
        <v>0.1</v>
      </c>
      <c r="H110" s="714">
        <f t="shared" si="80"/>
        <v>1.9E-2</v>
      </c>
      <c r="Z110" s="716"/>
      <c r="AU110" s="40"/>
    </row>
    <row r="111" spans="1:47" hidden="1" x14ac:dyDescent="0.3">
      <c r="A111" s="705"/>
      <c r="B111" s="706">
        <v>2</v>
      </c>
      <c r="C111" s="713">
        <f>A19</f>
        <v>25.02</v>
      </c>
      <c r="D111" s="714">
        <f t="shared" ref="D111:H111" si="81">B19</f>
        <v>0.32</v>
      </c>
      <c r="E111" s="714" t="str">
        <f t="shared" si="81"/>
        <v>-</v>
      </c>
      <c r="F111" s="714" t="str">
        <f t="shared" si="81"/>
        <v>-</v>
      </c>
      <c r="G111" s="714">
        <f t="shared" si="81"/>
        <v>0</v>
      </c>
      <c r="H111" s="714">
        <f t="shared" si="81"/>
        <v>0.02</v>
      </c>
      <c r="Z111" s="712"/>
      <c r="AU111" s="40"/>
    </row>
    <row r="112" spans="1:47" hidden="1" x14ac:dyDescent="0.3">
      <c r="A112" s="705"/>
      <c r="B112" s="706">
        <v>3</v>
      </c>
      <c r="C112" s="713">
        <f>A29</f>
        <v>19.8</v>
      </c>
      <c r="D112" s="714">
        <f t="shared" ref="D112:H112" si="82">B29</f>
        <v>-0.16</v>
      </c>
      <c r="E112" s="714">
        <f t="shared" si="82"/>
        <v>-0.03</v>
      </c>
      <c r="F112" s="714" t="str">
        <f t="shared" si="82"/>
        <v>-</v>
      </c>
      <c r="G112" s="714">
        <f t="shared" si="82"/>
        <v>6.5000000000000002E-2</v>
      </c>
      <c r="H112" s="714">
        <f t="shared" si="82"/>
        <v>0.23142599999999999</v>
      </c>
      <c r="Z112" s="715"/>
      <c r="AU112" s="40"/>
    </row>
    <row r="113" spans="1:47" hidden="1" x14ac:dyDescent="0.3">
      <c r="A113" s="705"/>
      <c r="B113" s="706">
        <v>4</v>
      </c>
      <c r="C113" s="713">
        <f>A39</f>
        <v>100</v>
      </c>
      <c r="D113" s="714">
        <f t="shared" ref="D113:H113" si="83">B39</f>
        <v>0.5</v>
      </c>
      <c r="E113" s="714" t="str">
        <f t="shared" si="83"/>
        <v>-</v>
      </c>
      <c r="F113" s="714" t="str">
        <f t="shared" si="83"/>
        <v>-</v>
      </c>
      <c r="G113" s="714">
        <f t="shared" si="83"/>
        <v>0</v>
      </c>
      <c r="H113" s="714">
        <f t="shared" si="83"/>
        <v>1.7000000000000001E-2</v>
      </c>
      <c r="Z113" s="715"/>
      <c r="AU113" s="40"/>
    </row>
    <row r="114" spans="1:47" hidden="1" x14ac:dyDescent="0.3">
      <c r="A114" s="705"/>
      <c r="B114" s="706">
        <v>5</v>
      </c>
      <c r="C114" s="707">
        <f>H9</f>
        <v>50.06</v>
      </c>
      <c r="D114" s="708">
        <f t="shared" ref="D114:H114" si="84">I9</f>
        <v>-0.28000000000000003</v>
      </c>
      <c r="E114" s="708" t="str">
        <f t="shared" si="84"/>
        <v>-</v>
      </c>
      <c r="F114" s="708" t="str">
        <f t="shared" si="84"/>
        <v>-</v>
      </c>
      <c r="G114" s="708">
        <f t="shared" si="84"/>
        <v>0</v>
      </c>
      <c r="H114" s="708">
        <f t="shared" si="84"/>
        <v>0.37545000000000001</v>
      </c>
      <c r="Z114" s="715"/>
      <c r="AU114" s="40"/>
    </row>
    <row r="115" spans="1:47" hidden="1" x14ac:dyDescent="0.3">
      <c r="A115" s="705"/>
      <c r="B115" s="706">
        <v>6</v>
      </c>
      <c r="C115" s="707">
        <f>H19</f>
        <v>50.7</v>
      </c>
      <c r="D115" s="708">
        <f t="shared" ref="D115:H115" si="85">I19</f>
        <v>0.06</v>
      </c>
      <c r="E115" s="708" t="str">
        <f t="shared" si="85"/>
        <v>-</v>
      </c>
      <c r="F115" s="708" t="str">
        <f t="shared" si="85"/>
        <v>-</v>
      </c>
      <c r="G115" s="708">
        <f t="shared" si="85"/>
        <v>0</v>
      </c>
      <c r="H115" s="708">
        <f t="shared" si="85"/>
        <v>0.38024999999999998</v>
      </c>
      <c r="Z115" s="715"/>
      <c r="AU115" s="40"/>
    </row>
    <row r="116" spans="1:47" hidden="1" x14ac:dyDescent="0.3">
      <c r="A116" s="705"/>
      <c r="B116" s="706">
        <v>7</v>
      </c>
      <c r="C116" s="707">
        <f>H29</f>
        <v>19.760000000000002</v>
      </c>
      <c r="D116" s="708">
        <f t="shared" ref="D116:H116" si="86">I29</f>
        <v>-0.06</v>
      </c>
      <c r="E116" s="708" t="str">
        <f t="shared" si="86"/>
        <v>-</v>
      </c>
      <c r="F116" s="708" t="str">
        <f t="shared" si="86"/>
        <v>-</v>
      </c>
      <c r="G116" s="708">
        <f t="shared" si="86"/>
        <v>0</v>
      </c>
      <c r="H116" s="708">
        <f t="shared" si="86"/>
        <v>0.1482</v>
      </c>
      <c r="Z116" s="715"/>
      <c r="AU116" s="40"/>
    </row>
    <row r="117" spans="1:47" hidden="1" x14ac:dyDescent="0.3">
      <c r="A117" s="705"/>
      <c r="B117" s="706">
        <v>8</v>
      </c>
      <c r="C117" s="707">
        <f>H39</f>
        <v>19.760000000000002</v>
      </c>
      <c r="D117" s="708">
        <f t="shared" ref="D117:H117" si="87">I39</f>
        <v>-0.14000000000000001</v>
      </c>
      <c r="E117" s="708" t="str">
        <f t="shared" si="87"/>
        <v>-</v>
      </c>
      <c r="F117" s="708" t="str">
        <f t="shared" si="87"/>
        <v>-</v>
      </c>
      <c r="G117" s="708">
        <f t="shared" si="87"/>
        <v>0</v>
      </c>
      <c r="H117" s="708">
        <f t="shared" si="87"/>
        <v>0.1482</v>
      </c>
      <c r="Z117" s="716"/>
      <c r="AU117" s="40"/>
    </row>
    <row r="118" spans="1:47" hidden="1" x14ac:dyDescent="0.3">
      <c r="A118" s="705"/>
      <c r="B118" s="706">
        <v>9</v>
      </c>
      <c r="C118" s="707">
        <f>O9</f>
        <v>19.93</v>
      </c>
      <c r="D118" s="708">
        <f t="shared" ref="D118:H118" si="88">P9</f>
        <v>0.02</v>
      </c>
      <c r="E118" s="708" t="str">
        <f t="shared" si="88"/>
        <v>-</v>
      </c>
      <c r="F118" s="708" t="str">
        <f t="shared" si="88"/>
        <v>-</v>
      </c>
      <c r="G118" s="708">
        <f t="shared" si="88"/>
        <v>0</v>
      </c>
      <c r="H118" s="708">
        <f t="shared" si="88"/>
        <v>0.23341500000000001</v>
      </c>
      <c r="Z118" s="716"/>
      <c r="AU118" s="40"/>
    </row>
    <row r="119" spans="1:47" hidden="1" x14ac:dyDescent="0.3">
      <c r="A119" s="705"/>
      <c r="B119" s="706">
        <v>10</v>
      </c>
      <c r="C119" s="707">
        <f>O19</f>
        <v>9.8800000000000008</v>
      </c>
      <c r="D119" s="708">
        <f t="shared" ref="D119:H119" si="89">P19</f>
        <v>-0.01</v>
      </c>
      <c r="E119" s="708" t="str">
        <f t="shared" si="89"/>
        <v>-</v>
      </c>
      <c r="F119" s="708" t="str">
        <f t="shared" si="89"/>
        <v>-</v>
      </c>
      <c r="G119" s="708">
        <f t="shared" si="89"/>
        <v>0</v>
      </c>
      <c r="H119" s="708">
        <f t="shared" si="89"/>
        <v>0.26</v>
      </c>
      <c r="Z119" s="716"/>
      <c r="AU119" s="40"/>
    </row>
    <row r="120" spans="1:47" hidden="1" x14ac:dyDescent="0.3">
      <c r="A120" s="705"/>
      <c r="B120" s="706">
        <v>11</v>
      </c>
      <c r="C120" s="707">
        <f>O29</f>
        <v>9.8699999999999992</v>
      </c>
      <c r="D120" s="708">
        <f t="shared" ref="D120:H120" si="90">P29</f>
        <v>-0.05</v>
      </c>
      <c r="E120" s="708" t="str">
        <f t="shared" si="90"/>
        <v>-</v>
      </c>
      <c r="F120" s="708" t="str">
        <f t="shared" si="90"/>
        <v>-</v>
      </c>
      <c r="G120" s="708">
        <f t="shared" si="90"/>
        <v>0</v>
      </c>
      <c r="H120" s="708">
        <f t="shared" si="90"/>
        <v>0.26</v>
      </c>
      <c r="Z120" s="716"/>
      <c r="AU120" s="40"/>
    </row>
    <row r="121" spans="1:47" hidden="1" x14ac:dyDescent="0.3">
      <c r="A121" s="705"/>
      <c r="B121" s="706">
        <v>12</v>
      </c>
      <c r="C121" s="713">
        <f>O39</f>
        <v>9.9999999999999995E-7</v>
      </c>
      <c r="D121" s="714" t="str">
        <f t="shared" ref="D121:H121" si="91">P39</f>
        <v>-</v>
      </c>
      <c r="E121" s="714" t="str">
        <f t="shared" si="91"/>
        <v>-</v>
      </c>
      <c r="F121" s="714" t="str">
        <f t="shared" si="91"/>
        <v>-</v>
      </c>
      <c r="G121" s="714">
        <f t="shared" si="91"/>
        <v>0</v>
      </c>
      <c r="H121" s="714">
        <f t="shared" si="91"/>
        <v>9.9999999999999995E-7</v>
      </c>
      <c r="Z121" s="716"/>
      <c r="AU121" s="40"/>
    </row>
    <row r="122" spans="1:47" hidden="1" x14ac:dyDescent="0.3">
      <c r="A122" s="705"/>
      <c r="B122" s="706">
        <v>13</v>
      </c>
      <c r="C122" s="713">
        <f>V9</f>
        <v>9.9999999999999995E-7</v>
      </c>
      <c r="D122" s="714" t="str">
        <f t="shared" ref="D122:H122" si="92">W9</f>
        <v>-</v>
      </c>
      <c r="E122" s="714" t="str">
        <f t="shared" si="92"/>
        <v>-</v>
      </c>
      <c r="F122" s="714" t="str">
        <f t="shared" si="92"/>
        <v>-</v>
      </c>
      <c r="G122" s="714">
        <f t="shared" si="92"/>
        <v>0</v>
      </c>
      <c r="H122" s="714">
        <f t="shared" si="92"/>
        <v>9.9999999999999995E-7</v>
      </c>
      <c r="Z122" s="716"/>
      <c r="AU122" s="40"/>
    </row>
    <row r="123" spans="1:47" hidden="1" x14ac:dyDescent="0.3">
      <c r="A123" s="705"/>
      <c r="B123" s="706">
        <v>14</v>
      </c>
      <c r="C123" s="713">
        <f>V19</f>
        <v>9.9999999999999995E-7</v>
      </c>
      <c r="D123" s="714" t="str">
        <f t="shared" ref="D123:H123" si="93">W19</f>
        <v>-</v>
      </c>
      <c r="E123" s="714" t="str">
        <f t="shared" si="93"/>
        <v>-</v>
      </c>
      <c r="F123" s="714" t="str">
        <f t="shared" si="93"/>
        <v>-</v>
      </c>
      <c r="G123" s="714">
        <f t="shared" si="93"/>
        <v>0</v>
      </c>
      <c r="H123" s="714">
        <f t="shared" si="93"/>
        <v>9.9999999999999995E-7</v>
      </c>
      <c r="Z123" s="712"/>
      <c r="AU123" s="40"/>
    </row>
    <row r="124" spans="1:47" hidden="1" x14ac:dyDescent="0.3">
      <c r="A124" s="705"/>
      <c r="B124" s="706">
        <v>15</v>
      </c>
      <c r="C124" s="713">
        <f>V29</f>
        <v>9.9999999999999995E-7</v>
      </c>
      <c r="D124" s="714" t="str">
        <f t="shared" ref="D124:H124" si="94">W29</f>
        <v>-</v>
      </c>
      <c r="E124" s="714" t="str">
        <f t="shared" si="94"/>
        <v>-</v>
      </c>
      <c r="F124" s="714" t="str">
        <f t="shared" si="94"/>
        <v>-</v>
      </c>
      <c r="G124" s="714">
        <f t="shared" si="94"/>
        <v>0</v>
      </c>
      <c r="H124" s="714">
        <f t="shared" si="94"/>
        <v>9.9999999999999995E-7</v>
      </c>
      <c r="Z124" s="715"/>
      <c r="AU124" s="40"/>
    </row>
    <row r="125" spans="1:47" hidden="1" x14ac:dyDescent="0.3">
      <c r="A125" s="705"/>
      <c r="B125" s="706">
        <v>16</v>
      </c>
      <c r="C125" s="713">
        <f>V39</f>
        <v>9.9999999999999995E-7</v>
      </c>
      <c r="D125" s="714" t="str">
        <f t="shared" ref="D125:H125" si="95">W39</f>
        <v>-</v>
      </c>
      <c r="E125" s="714" t="str">
        <f t="shared" si="95"/>
        <v>-</v>
      </c>
      <c r="F125" s="714" t="str">
        <f t="shared" si="95"/>
        <v>-</v>
      </c>
      <c r="G125" s="714">
        <f t="shared" si="95"/>
        <v>0</v>
      </c>
      <c r="H125" s="714">
        <f t="shared" si="95"/>
        <v>9.9999999999999995E-7</v>
      </c>
      <c r="Z125" s="715"/>
      <c r="AU125" s="40"/>
    </row>
    <row r="126" spans="1:47" hidden="1" x14ac:dyDescent="0.3">
      <c r="A126" s="705">
        <v>6</v>
      </c>
      <c r="B126" s="706">
        <v>1</v>
      </c>
      <c r="C126" s="707">
        <f>A10</f>
        <v>103.4</v>
      </c>
      <c r="D126" s="708">
        <f t="shared" ref="D126:H126" si="96">B10</f>
        <v>0</v>
      </c>
      <c r="E126" s="708">
        <f t="shared" si="96"/>
        <v>0</v>
      </c>
      <c r="F126" s="708" t="str">
        <f t="shared" si="96"/>
        <v>-</v>
      </c>
      <c r="G126" s="708">
        <f t="shared" si="96"/>
        <v>0</v>
      </c>
      <c r="H126" s="708">
        <f t="shared" si="96"/>
        <v>1.9E-2</v>
      </c>
      <c r="Z126" s="715"/>
      <c r="AU126" s="40"/>
    </row>
    <row r="127" spans="1:47" hidden="1" x14ac:dyDescent="0.3">
      <c r="A127" s="705"/>
      <c r="B127" s="706">
        <v>2</v>
      </c>
      <c r="C127" s="707">
        <f>A20</f>
        <v>49.82</v>
      </c>
      <c r="D127" s="708">
        <f t="shared" ref="D127:H127" si="97">B20</f>
        <v>0.72</v>
      </c>
      <c r="E127" s="708" t="str">
        <f t="shared" si="97"/>
        <v>-</v>
      </c>
      <c r="F127" s="708" t="str">
        <f t="shared" si="97"/>
        <v>-</v>
      </c>
      <c r="G127" s="708">
        <f t="shared" si="97"/>
        <v>0</v>
      </c>
      <c r="H127" s="708">
        <f t="shared" si="97"/>
        <v>0.02</v>
      </c>
      <c r="Z127" s="715"/>
      <c r="AU127" s="40"/>
    </row>
    <row r="128" spans="1:47" hidden="1" x14ac:dyDescent="0.3">
      <c r="A128" s="705"/>
      <c r="B128" s="706">
        <v>3</v>
      </c>
      <c r="C128" s="707">
        <f>A30</f>
        <v>86.66</v>
      </c>
      <c r="D128" s="708">
        <f t="shared" ref="D128:H128" si="98">B30</f>
        <v>-0.39</v>
      </c>
      <c r="E128" s="708">
        <f t="shared" si="98"/>
        <v>-0.38</v>
      </c>
      <c r="F128" s="708" t="str">
        <f t="shared" si="98"/>
        <v>-</v>
      </c>
      <c r="G128" s="708">
        <f t="shared" si="98"/>
        <v>5.0000000000000044E-3</v>
      </c>
      <c r="H128" s="708">
        <f t="shared" si="98"/>
        <v>6.5861600000000006E-2</v>
      </c>
      <c r="Z128" s="715"/>
      <c r="AU128" s="40"/>
    </row>
    <row r="129" spans="1:47" hidden="1" x14ac:dyDescent="0.3">
      <c r="A129" s="705"/>
      <c r="B129" s="706">
        <v>4</v>
      </c>
      <c r="C129" s="707">
        <f>A40</f>
        <v>150.59</v>
      </c>
      <c r="D129" s="708">
        <f t="shared" ref="D129:H129" si="99">B40</f>
        <v>0.49</v>
      </c>
      <c r="E129" s="708" t="str">
        <f t="shared" si="99"/>
        <v>-</v>
      </c>
      <c r="F129" s="708" t="str">
        <f t="shared" si="99"/>
        <v>-</v>
      </c>
      <c r="G129" s="708">
        <f t="shared" si="99"/>
        <v>0</v>
      </c>
      <c r="H129" s="708">
        <f t="shared" si="99"/>
        <v>1.7000000000000001E-2</v>
      </c>
      <c r="J129" s="40"/>
      <c r="K129" s="40"/>
      <c r="L129" s="40"/>
      <c r="M129" s="40"/>
      <c r="N129" s="40"/>
      <c r="O129" s="40"/>
      <c r="P129" s="40"/>
      <c r="Q129" s="40"/>
      <c r="Z129" s="716"/>
      <c r="AU129" s="40"/>
    </row>
    <row r="130" spans="1:47" hidden="1" x14ac:dyDescent="0.3">
      <c r="A130" s="705"/>
      <c r="B130" s="706">
        <v>5</v>
      </c>
      <c r="C130" s="707">
        <f>H10</f>
        <v>80.13</v>
      </c>
      <c r="D130" s="708">
        <f t="shared" ref="D130:H130" si="100">I10</f>
        <v>0</v>
      </c>
      <c r="E130" s="708" t="str">
        <f t="shared" si="100"/>
        <v>-</v>
      </c>
      <c r="F130" s="708" t="str">
        <f t="shared" si="100"/>
        <v>-</v>
      </c>
      <c r="G130" s="708">
        <f t="shared" si="100"/>
        <v>0</v>
      </c>
      <c r="H130" s="708">
        <f t="shared" si="100"/>
        <v>0.60097500000000004</v>
      </c>
      <c r="J130" s="40"/>
      <c r="K130" s="40"/>
      <c r="L130" s="40"/>
      <c r="M130" s="40"/>
      <c r="N130" s="40"/>
      <c r="O130" s="40"/>
      <c r="P130" s="40"/>
      <c r="Q130" s="40"/>
      <c r="Z130" s="716"/>
      <c r="AU130" s="40"/>
    </row>
    <row r="131" spans="1:47" hidden="1" x14ac:dyDescent="0.3">
      <c r="A131" s="705"/>
      <c r="B131" s="706">
        <v>6</v>
      </c>
      <c r="C131" s="707">
        <f>H20</f>
        <v>77.42</v>
      </c>
      <c r="D131" s="708">
        <f t="shared" ref="D131:H131" si="101">I20</f>
        <v>0.23</v>
      </c>
      <c r="E131" s="708" t="str">
        <f t="shared" si="101"/>
        <v>-</v>
      </c>
      <c r="F131" s="708" t="str">
        <f t="shared" si="101"/>
        <v>-</v>
      </c>
      <c r="G131" s="708">
        <f t="shared" si="101"/>
        <v>0</v>
      </c>
      <c r="H131" s="708">
        <f t="shared" si="101"/>
        <v>0.58065</v>
      </c>
      <c r="J131" s="40"/>
      <c r="K131" s="40"/>
      <c r="L131" s="40"/>
      <c r="M131" s="40"/>
      <c r="N131" s="40"/>
      <c r="O131" s="40"/>
      <c r="P131" s="40"/>
      <c r="Q131" s="40"/>
      <c r="Z131" s="716"/>
      <c r="AC131" s="40"/>
      <c r="AD131" s="40"/>
      <c r="AE131" s="40"/>
    </row>
    <row r="132" spans="1:47" hidden="1" x14ac:dyDescent="0.3">
      <c r="A132" s="705"/>
      <c r="B132" s="706">
        <v>7</v>
      </c>
      <c r="C132" s="707">
        <f>H30</f>
        <v>90.96</v>
      </c>
      <c r="D132" s="708">
        <f t="shared" ref="D132:H132" si="102">I30</f>
        <v>-0.2</v>
      </c>
      <c r="E132" s="708" t="str">
        <f t="shared" si="102"/>
        <v>-</v>
      </c>
      <c r="F132" s="708" t="str">
        <f t="shared" si="102"/>
        <v>-</v>
      </c>
      <c r="G132" s="708">
        <f t="shared" si="102"/>
        <v>0</v>
      </c>
      <c r="H132" s="708">
        <f t="shared" si="102"/>
        <v>0.6825</v>
      </c>
      <c r="J132" s="40"/>
      <c r="K132" s="40"/>
      <c r="L132" s="40"/>
      <c r="M132" s="40"/>
      <c r="N132" s="40"/>
      <c r="O132" s="40"/>
      <c r="P132" s="40"/>
      <c r="Q132" s="40"/>
      <c r="Z132" s="716"/>
      <c r="AC132" s="40"/>
      <c r="AD132" s="40"/>
      <c r="AE132" s="40"/>
    </row>
    <row r="133" spans="1:47" hidden="1" x14ac:dyDescent="0.3">
      <c r="A133" s="705"/>
      <c r="B133" s="706">
        <v>8</v>
      </c>
      <c r="C133" s="713">
        <f>H40</f>
        <v>90.96</v>
      </c>
      <c r="D133" s="714">
        <f t="shared" ref="D133:H133" si="103">I40</f>
        <v>-0.21</v>
      </c>
      <c r="E133" s="714" t="str">
        <f t="shared" si="103"/>
        <v>-</v>
      </c>
      <c r="F133" s="714" t="str">
        <f t="shared" si="103"/>
        <v>-</v>
      </c>
      <c r="G133" s="714">
        <f t="shared" si="103"/>
        <v>0</v>
      </c>
      <c r="H133" s="714">
        <f t="shared" si="103"/>
        <v>0.68220000000000003</v>
      </c>
      <c r="J133" s="40"/>
      <c r="K133" s="40"/>
      <c r="L133" s="40"/>
      <c r="M133" s="40"/>
      <c r="N133" s="40"/>
      <c r="O133" s="40"/>
      <c r="P133" s="40"/>
      <c r="Q133" s="40"/>
      <c r="Z133" s="716"/>
      <c r="AC133" s="717"/>
      <c r="AD133" s="717"/>
      <c r="AE133" s="717"/>
    </row>
    <row r="134" spans="1:47" hidden="1" x14ac:dyDescent="0.3">
      <c r="A134" s="705"/>
      <c r="B134" s="706">
        <v>9</v>
      </c>
      <c r="C134" s="713">
        <f>O10</f>
        <v>90.96</v>
      </c>
      <c r="D134" s="714">
        <f t="shared" ref="D134:H134" si="104">P10</f>
        <v>0.09</v>
      </c>
      <c r="E134" s="714" t="str">
        <f t="shared" si="104"/>
        <v>-</v>
      </c>
      <c r="F134" s="714" t="str">
        <f t="shared" si="104"/>
        <v>-</v>
      </c>
      <c r="G134" s="714">
        <f t="shared" si="104"/>
        <v>0</v>
      </c>
      <c r="H134" s="714">
        <f t="shared" si="104"/>
        <v>1.065285</v>
      </c>
      <c r="J134" s="40"/>
      <c r="K134" s="40"/>
      <c r="L134" s="40"/>
      <c r="M134" s="40"/>
      <c r="N134" s="40"/>
      <c r="O134" s="40"/>
      <c r="P134" s="40"/>
      <c r="Q134" s="40"/>
      <c r="Z134" s="716"/>
      <c r="AC134" s="717"/>
      <c r="AD134" s="717"/>
      <c r="AE134" s="717"/>
    </row>
    <row r="135" spans="1:47" hidden="1" x14ac:dyDescent="0.3">
      <c r="A135" s="705"/>
      <c r="B135" s="706">
        <v>10</v>
      </c>
      <c r="C135" s="713">
        <f>O20</f>
        <v>19.78</v>
      </c>
      <c r="D135" s="714">
        <f t="shared" ref="D135:H135" si="105">P20</f>
        <v>-0.01</v>
      </c>
      <c r="E135" s="714" t="str">
        <f t="shared" si="105"/>
        <v>-</v>
      </c>
      <c r="F135" s="714" t="str">
        <f t="shared" si="105"/>
        <v>-</v>
      </c>
      <c r="G135" s="714">
        <f t="shared" si="105"/>
        <v>0</v>
      </c>
      <c r="H135" s="714">
        <f t="shared" si="105"/>
        <v>1.6</v>
      </c>
      <c r="J135" s="40"/>
      <c r="K135" s="40"/>
      <c r="L135" s="40"/>
      <c r="M135" s="40"/>
      <c r="N135" s="40"/>
      <c r="O135" s="40"/>
      <c r="P135" s="40"/>
      <c r="Q135" s="40"/>
      <c r="Z135" s="716"/>
      <c r="AC135" s="717"/>
      <c r="AD135" s="717"/>
      <c r="AE135" s="717"/>
    </row>
    <row r="136" spans="1:47" hidden="1" x14ac:dyDescent="0.3">
      <c r="A136" s="705"/>
      <c r="B136" s="706">
        <v>11</v>
      </c>
      <c r="C136" s="713">
        <f>O30</f>
        <v>19.78</v>
      </c>
      <c r="D136" s="714">
        <f t="shared" ref="D136:H136" si="106">P30</f>
        <v>-0.03</v>
      </c>
      <c r="E136" s="714" t="str">
        <f t="shared" si="106"/>
        <v>-</v>
      </c>
      <c r="F136" s="714" t="str">
        <f t="shared" si="106"/>
        <v>-</v>
      </c>
      <c r="G136" s="714">
        <f t="shared" si="106"/>
        <v>0</v>
      </c>
      <c r="H136" s="714">
        <f t="shared" si="106"/>
        <v>1.6</v>
      </c>
      <c r="J136" s="40"/>
      <c r="K136" s="40"/>
      <c r="L136" s="40"/>
      <c r="M136" s="40"/>
      <c r="N136" s="40"/>
      <c r="O136" s="40"/>
      <c r="P136" s="40"/>
      <c r="Q136" s="40"/>
      <c r="Z136" s="716"/>
      <c r="AC136" s="717"/>
      <c r="AD136" s="717"/>
      <c r="AE136" s="717"/>
    </row>
    <row r="137" spans="1:47" hidden="1" x14ac:dyDescent="0.3">
      <c r="A137" s="705"/>
      <c r="B137" s="706">
        <v>12</v>
      </c>
      <c r="C137" s="713">
        <f>O40</f>
        <v>10</v>
      </c>
      <c r="D137" s="714" t="str">
        <f t="shared" ref="D137:H137" si="107">P40</f>
        <v>-</v>
      </c>
      <c r="E137" s="714" t="str">
        <f t="shared" si="107"/>
        <v>-</v>
      </c>
      <c r="F137" s="714" t="str">
        <f t="shared" si="107"/>
        <v>-</v>
      </c>
      <c r="G137" s="714">
        <f t="shared" si="107"/>
        <v>0</v>
      </c>
      <c r="H137" s="714">
        <f t="shared" si="107"/>
        <v>9.9999999999999995E-7</v>
      </c>
      <c r="J137" s="40"/>
      <c r="K137" s="40"/>
      <c r="L137" s="40"/>
      <c r="M137" s="40"/>
      <c r="N137" s="40"/>
      <c r="O137" s="40"/>
      <c r="P137" s="40"/>
      <c r="Q137" s="40"/>
      <c r="Z137" s="716"/>
      <c r="AC137" s="717"/>
      <c r="AD137" s="717"/>
      <c r="AE137" s="717"/>
    </row>
    <row r="138" spans="1:47" hidden="1" x14ac:dyDescent="0.3">
      <c r="A138" s="705"/>
      <c r="B138" s="706">
        <v>13</v>
      </c>
      <c r="C138" s="713">
        <f>V10</f>
        <v>10</v>
      </c>
      <c r="D138" s="714" t="str">
        <f t="shared" ref="D138:H138" si="108">W10</f>
        <v>-</v>
      </c>
      <c r="E138" s="714" t="str">
        <f t="shared" si="108"/>
        <v>-</v>
      </c>
      <c r="F138" s="714" t="str">
        <f t="shared" si="108"/>
        <v>-</v>
      </c>
      <c r="G138" s="714">
        <f t="shared" si="108"/>
        <v>0</v>
      </c>
      <c r="H138" s="714">
        <f t="shared" si="108"/>
        <v>9.9999999999999995E-7</v>
      </c>
      <c r="J138" s="40"/>
      <c r="K138" s="40"/>
      <c r="L138" s="40"/>
      <c r="M138" s="40"/>
      <c r="N138" s="40"/>
      <c r="O138" s="40"/>
      <c r="P138" s="40"/>
      <c r="Q138" s="40"/>
      <c r="Z138" s="716"/>
      <c r="AC138" s="718"/>
      <c r="AD138" s="718"/>
      <c r="AE138" s="718"/>
    </row>
    <row r="139" spans="1:47" hidden="1" x14ac:dyDescent="0.3">
      <c r="A139" s="705"/>
      <c r="B139" s="706">
        <v>14</v>
      </c>
      <c r="C139" s="713">
        <f>V20</f>
        <v>10</v>
      </c>
      <c r="D139" s="714" t="str">
        <f t="shared" ref="D139:H139" si="109">W20</f>
        <v>-</v>
      </c>
      <c r="E139" s="714" t="str">
        <f t="shared" si="109"/>
        <v>-</v>
      </c>
      <c r="F139" s="714" t="str">
        <f t="shared" si="109"/>
        <v>-</v>
      </c>
      <c r="G139" s="714">
        <f t="shared" si="109"/>
        <v>0</v>
      </c>
      <c r="H139" s="714">
        <f t="shared" si="109"/>
        <v>9.9999999999999995E-7</v>
      </c>
      <c r="J139" s="40"/>
      <c r="K139" s="40"/>
      <c r="L139" s="40"/>
      <c r="M139" s="40"/>
      <c r="N139" s="40"/>
      <c r="O139" s="40"/>
      <c r="P139" s="40"/>
      <c r="Q139" s="40"/>
      <c r="Z139" s="712"/>
      <c r="AC139" s="718"/>
      <c r="AD139" s="718"/>
      <c r="AE139" s="718"/>
    </row>
    <row r="140" spans="1:47" hidden="1" x14ac:dyDescent="0.3">
      <c r="A140" s="705"/>
      <c r="B140" s="706">
        <v>15</v>
      </c>
      <c r="C140" s="713">
        <f>V30</f>
        <v>10</v>
      </c>
      <c r="D140" s="714" t="str">
        <f t="shared" ref="D140:H140" si="110">W30</f>
        <v>-</v>
      </c>
      <c r="E140" s="714" t="str">
        <f t="shared" si="110"/>
        <v>-</v>
      </c>
      <c r="F140" s="714" t="str">
        <f t="shared" si="110"/>
        <v>-</v>
      </c>
      <c r="G140" s="714">
        <f t="shared" si="110"/>
        <v>0</v>
      </c>
      <c r="H140" s="714">
        <f t="shared" si="110"/>
        <v>9.9999999999999995E-7</v>
      </c>
      <c r="J140" s="40"/>
      <c r="K140" s="40"/>
      <c r="L140" s="40"/>
      <c r="M140" s="40"/>
      <c r="N140" s="40"/>
      <c r="O140" s="40"/>
      <c r="P140" s="40"/>
      <c r="Q140" s="40"/>
      <c r="Z140" s="715"/>
      <c r="AC140" s="718"/>
      <c r="AD140" s="718"/>
      <c r="AE140" s="718"/>
    </row>
    <row r="141" spans="1:47" hidden="1" x14ac:dyDescent="0.3">
      <c r="A141" s="705"/>
      <c r="B141" s="706">
        <v>16</v>
      </c>
      <c r="C141" s="713">
        <f>V40</f>
        <v>10</v>
      </c>
      <c r="D141" s="714" t="str">
        <f t="shared" ref="D141:H141" si="111">W40</f>
        <v>-</v>
      </c>
      <c r="E141" s="714" t="str">
        <f t="shared" si="111"/>
        <v>-</v>
      </c>
      <c r="F141" s="714" t="str">
        <f t="shared" si="111"/>
        <v>-</v>
      </c>
      <c r="G141" s="714">
        <f t="shared" si="111"/>
        <v>0</v>
      </c>
      <c r="H141" s="714">
        <f t="shared" si="111"/>
        <v>9.9999999999999995E-7</v>
      </c>
      <c r="J141" s="40"/>
      <c r="K141" s="40"/>
      <c r="L141" s="40"/>
      <c r="M141" s="40"/>
      <c r="N141" s="40"/>
      <c r="O141" s="40"/>
      <c r="P141" s="40"/>
      <c r="Q141" s="40"/>
      <c r="Z141" s="715"/>
      <c r="AC141" s="718"/>
      <c r="AD141" s="718"/>
      <c r="AE141" s="718"/>
    </row>
    <row r="142" spans="1:47" x14ac:dyDescent="0.3">
      <c r="H142" s="40"/>
      <c r="I142" s="40"/>
      <c r="J142" s="40"/>
      <c r="K142" s="40"/>
      <c r="L142" s="40"/>
      <c r="M142" s="40"/>
      <c r="N142" s="40"/>
      <c r="O142" s="40"/>
      <c r="P142" s="40"/>
      <c r="Q142" s="40"/>
      <c r="Z142" s="715"/>
      <c r="AC142" s="718"/>
      <c r="AD142" s="718"/>
      <c r="AE142" s="718"/>
    </row>
    <row r="143" spans="1:47" ht="15" x14ac:dyDescent="0.3">
      <c r="H143" s="719"/>
      <c r="I143" s="719"/>
      <c r="J143" s="719"/>
      <c r="K143" s="719"/>
      <c r="L143" s="40"/>
      <c r="M143" s="719"/>
      <c r="N143" s="719"/>
      <c r="O143" s="719"/>
      <c r="P143" s="719"/>
      <c r="Q143" s="719"/>
      <c r="R143" s="156"/>
      <c r="AC143" s="718"/>
      <c r="AD143" s="718"/>
      <c r="AE143" s="718"/>
    </row>
    <row r="144" spans="1:47" ht="14" x14ac:dyDescent="0.3">
      <c r="A144" s="804" t="s">
        <v>435</v>
      </c>
      <c r="B144" s="805"/>
      <c r="C144" s="805"/>
      <c r="D144" s="806"/>
      <c r="E144" s="807"/>
      <c r="F144" s="806"/>
      <c r="G144" s="534"/>
      <c r="H144" s="624"/>
      <c r="I144" s="534"/>
      <c r="J144" s="624"/>
      <c r="K144" s="624"/>
      <c r="L144" s="40"/>
      <c r="M144" s="534"/>
      <c r="N144" s="624"/>
      <c r="O144" s="534"/>
      <c r="P144" s="624"/>
      <c r="Q144" s="624"/>
      <c r="R144" s="720"/>
      <c r="AC144" s="718"/>
      <c r="AD144" s="718"/>
      <c r="AE144" s="718"/>
    </row>
    <row r="145" spans="1:31" ht="14" x14ac:dyDescent="0.3">
      <c r="A145" s="808" t="s">
        <v>436</v>
      </c>
      <c r="B145" s="809" t="s">
        <v>49</v>
      </c>
      <c r="C145" s="809" t="s">
        <v>50</v>
      </c>
      <c r="D145" s="809" t="s">
        <v>51</v>
      </c>
      <c r="E145" s="809" t="s">
        <v>52</v>
      </c>
      <c r="F145" s="810" t="s">
        <v>53</v>
      </c>
      <c r="G145" s="624"/>
      <c r="H145" s="534"/>
      <c r="I145" s="721"/>
      <c r="J145" s="534"/>
      <c r="K145" s="534"/>
      <c r="L145" s="40"/>
      <c r="M145" s="624"/>
      <c r="N145" s="534"/>
      <c r="O145" s="721"/>
      <c r="P145" s="534"/>
      <c r="Q145" s="534"/>
      <c r="AC145" s="718"/>
      <c r="AD145" s="718"/>
      <c r="AE145" s="718"/>
    </row>
    <row r="146" spans="1:31" x14ac:dyDescent="0.3">
      <c r="A146" s="811">
        <v>1</v>
      </c>
      <c r="B146" s="812">
        <f>[3]ID!E27/1000</f>
        <v>1</v>
      </c>
      <c r="C146" s="812">
        <f>[3]ID!F27/1000</f>
        <v>1</v>
      </c>
      <c r="D146" s="812">
        <f>[3]ID!G27/1000</f>
        <v>1</v>
      </c>
      <c r="E146" s="812">
        <f>[3]ID!H27/1000</f>
        <v>1</v>
      </c>
      <c r="F146" s="812">
        <f>[3]ID!I27/1000</f>
        <v>1</v>
      </c>
      <c r="G146" s="534"/>
      <c r="H146" s="624"/>
      <c r="I146" s="534"/>
      <c r="J146" s="624"/>
      <c r="K146" s="624"/>
      <c r="L146" s="40"/>
      <c r="M146" s="534"/>
      <c r="N146" s="624"/>
      <c r="O146" s="534"/>
      <c r="P146" s="624"/>
      <c r="Q146" s="624"/>
      <c r="AC146" s="718"/>
      <c r="AD146" s="718"/>
      <c r="AE146" s="718"/>
    </row>
    <row r="147" spans="1:31" ht="15" x14ac:dyDescent="0.3">
      <c r="A147" s="811">
        <v>2</v>
      </c>
      <c r="B147" s="812">
        <f>[3]ID!E28/1000</f>
        <v>2</v>
      </c>
      <c r="C147" s="812">
        <f>[3]ID!F28/1000</f>
        <v>2</v>
      </c>
      <c r="D147" s="812">
        <f>[3]ID!G28/1000</f>
        <v>2</v>
      </c>
      <c r="E147" s="812">
        <f>[3]ID!H28/1000</f>
        <v>2</v>
      </c>
      <c r="F147" s="812">
        <f>[3]ID!I28/1000</f>
        <v>2</v>
      </c>
      <c r="G147" s="719"/>
      <c r="H147" s="719"/>
      <c r="I147" s="719"/>
      <c r="J147" s="719"/>
      <c r="K147" s="719"/>
      <c r="L147" s="40"/>
      <c r="M147" s="719"/>
      <c r="N147" s="719"/>
      <c r="O147" s="719"/>
      <c r="P147" s="719"/>
      <c r="Q147" s="719"/>
      <c r="R147" s="156"/>
      <c r="Z147" s="718"/>
      <c r="AC147" s="718"/>
      <c r="AD147" s="718"/>
      <c r="AE147" s="718"/>
    </row>
    <row r="148" spans="1:31" x14ac:dyDescent="0.3">
      <c r="A148" s="811">
        <v>3</v>
      </c>
      <c r="B148" s="812">
        <f>[3]ID!E29/1000</f>
        <v>3</v>
      </c>
      <c r="C148" s="812">
        <f>[3]ID!F29/1000</f>
        <v>3</v>
      </c>
      <c r="D148" s="812">
        <f>[3]ID!G29/1000</f>
        <v>3</v>
      </c>
      <c r="E148" s="812">
        <f>[3]ID!H29/1000</f>
        <v>3</v>
      </c>
      <c r="F148" s="812">
        <f>[3]ID!I29/1000</f>
        <v>3</v>
      </c>
      <c r="G148" s="534"/>
      <c r="H148" s="624"/>
      <c r="I148" s="534"/>
      <c r="J148" s="624"/>
      <c r="K148" s="624"/>
      <c r="L148" s="40"/>
      <c r="M148" s="534"/>
      <c r="N148" s="624"/>
      <c r="O148" s="534"/>
      <c r="P148" s="624"/>
      <c r="Q148" s="624"/>
      <c r="R148" s="720"/>
      <c r="Z148" s="718"/>
      <c r="AC148" s="718"/>
      <c r="AD148" s="718"/>
      <c r="AE148" s="718"/>
    </row>
    <row r="149" spans="1:31" x14ac:dyDescent="0.3">
      <c r="A149" s="811">
        <v>4</v>
      </c>
      <c r="B149" s="812">
        <f>[3]ID!E30/1000</f>
        <v>4</v>
      </c>
      <c r="C149" s="812">
        <f>[3]ID!F30/1000</f>
        <v>4</v>
      </c>
      <c r="D149" s="812">
        <f>[3]ID!G30/1000</f>
        <v>4</v>
      </c>
      <c r="E149" s="812">
        <f>[3]ID!H30/1000</f>
        <v>4</v>
      </c>
      <c r="F149" s="812">
        <f>[3]ID!I30/1000</f>
        <v>4</v>
      </c>
      <c r="G149" s="624"/>
      <c r="H149" s="534"/>
      <c r="I149" s="721"/>
      <c r="J149" s="534"/>
      <c r="K149" s="534"/>
      <c r="L149" s="40"/>
      <c r="M149" s="624"/>
      <c r="N149" s="534"/>
      <c r="O149" s="721"/>
      <c r="P149" s="534"/>
      <c r="Q149" s="534"/>
      <c r="Z149" s="718"/>
      <c r="AC149" s="718"/>
      <c r="AD149" s="718"/>
      <c r="AE149" s="718"/>
    </row>
    <row r="150" spans="1:31" x14ac:dyDescent="0.3">
      <c r="A150" s="811">
        <v>5</v>
      </c>
      <c r="B150" s="812">
        <f>[3]ID!E31/1000</f>
        <v>5</v>
      </c>
      <c r="C150" s="812">
        <f>[3]ID!F31/1000</f>
        <v>5</v>
      </c>
      <c r="D150" s="812">
        <f>[3]ID!G31/1000</f>
        <v>5</v>
      </c>
      <c r="E150" s="812">
        <f>[3]ID!H31/1000</f>
        <v>5</v>
      </c>
      <c r="F150" s="812">
        <f>[3]ID!I31/1000</f>
        <v>5</v>
      </c>
      <c r="G150" s="534"/>
      <c r="H150" s="624"/>
      <c r="I150" s="534"/>
      <c r="J150" s="624"/>
      <c r="K150" s="624"/>
      <c r="L150" s="40"/>
      <c r="M150" s="534"/>
      <c r="N150" s="624"/>
      <c r="O150" s="534"/>
      <c r="P150" s="624"/>
      <c r="Q150" s="624"/>
      <c r="Z150" s="718"/>
      <c r="AC150" s="718"/>
      <c r="AD150" s="718"/>
      <c r="AE150" s="718"/>
    </row>
    <row r="151" spans="1:31" ht="15" x14ac:dyDescent="0.3">
      <c r="A151" s="811"/>
      <c r="B151" s="812"/>
      <c r="C151" s="812"/>
      <c r="D151" s="812"/>
      <c r="E151" s="812"/>
      <c r="F151" s="812"/>
      <c r="G151" s="719"/>
      <c r="H151" s="719"/>
      <c r="I151" s="719"/>
      <c r="J151" s="719"/>
      <c r="K151" s="719"/>
      <c r="L151" s="40"/>
      <c r="M151" s="719"/>
      <c r="N151" s="719"/>
      <c r="O151" s="719"/>
      <c r="P151" s="719"/>
      <c r="Q151" s="719"/>
      <c r="R151" s="156"/>
      <c r="Z151" s="718"/>
      <c r="AC151" s="718"/>
      <c r="AD151" s="718"/>
      <c r="AE151" s="718"/>
    </row>
    <row r="152" spans="1:31" x14ac:dyDescent="0.3">
      <c r="A152" s="811"/>
      <c r="B152" s="812"/>
      <c r="C152" s="812"/>
      <c r="D152" s="812"/>
      <c r="E152" s="812"/>
      <c r="F152" s="812"/>
      <c r="G152" s="534"/>
      <c r="H152" s="624"/>
      <c r="I152" s="534"/>
      <c r="J152" s="624"/>
      <c r="K152" s="624"/>
      <c r="L152" s="40"/>
      <c r="M152" s="534"/>
      <c r="O152" s="534"/>
      <c r="P152" s="624"/>
      <c r="Q152" s="624"/>
      <c r="R152" s="720"/>
      <c r="Z152" s="718"/>
      <c r="AC152" s="718"/>
      <c r="AD152" s="718"/>
      <c r="AE152" s="718"/>
    </row>
    <row r="153" spans="1:31" x14ac:dyDescent="0.3">
      <c r="G153" s="624"/>
      <c r="H153" s="534"/>
      <c r="I153" s="721"/>
      <c r="J153" s="534"/>
      <c r="K153" s="534"/>
      <c r="L153" s="40"/>
      <c r="M153" s="624"/>
      <c r="O153" s="721"/>
      <c r="P153" s="534"/>
      <c r="Q153" s="534"/>
      <c r="Z153" s="718"/>
      <c r="AC153" s="718"/>
      <c r="AD153" s="718"/>
      <c r="AE153" s="718"/>
    </row>
    <row r="154" spans="1:31" ht="26.25" customHeight="1" x14ac:dyDescent="0.3">
      <c r="A154" s="722">
        <f>'[3]DB Gas FLow Analyzer'!A236</f>
        <v>6</v>
      </c>
      <c r="B154" s="1130" t="str">
        <f>'[3]DB Gas FLow Analyzer'!A219</f>
        <v>Gas Flow Analyzer, Merek : Fluke, Model : VT305, SN : BF102142</v>
      </c>
      <c r="C154" s="1130"/>
      <c r="D154" s="1130"/>
      <c r="E154" s="1130"/>
      <c r="F154" s="1130"/>
      <c r="G154" s="534"/>
      <c r="H154" s="624"/>
      <c r="I154" s="1143" t="s">
        <v>437</v>
      </c>
      <c r="J154" s="1143"/>
      <c r="K154" s="1143"/>
      <c r="L154" s="1143"/>
      <c r="M154" s="723"/>
      <c r="O154" s="534"/>
      <c r="P154" s="624"/>
      <c r="Q154" s="624"/>
      <c r="Z154" s="718"/>
      <c r="AC154" s="718"/>
      <c r="AD154" s="718"/>
      <c r="AE154" s="718"/>
    </row>
    <row r="155" spans="1:31" ht="27" x14ac:dyDescent="0.3">
      <c r="A155" s="724" t="s">
        <v>274</v>
      </c>
      <c r="B155" s="1121" t="s">
        <v>175</v>
      </c>
      <c r="C155" s="1122"/>
      <c r="D155" s="1123"/>
      <c r="E155" s="1124" t="s">
        <v>176</v>
      </c>
      <c r="F155" s="1126" t="s">
        <v>282</v>
      </c>
      <c r="H155" s="719"/>
      <c r="I155" s="725" t="s">
        <v>436</v>
      </c>
      <c r="J155" s="726" t="s">
        <v>355</v>
      </c>
      <c r="K155" s="726" t="s">
        <v>287</v>
      </c>
      <c r="L155" s="726" t="s">
        <v>282</v>
      </c>
      <c r="M155" s="727" t="s">
        <v>438</v>
      </c>
      <c r="O155" s="457" t="s">
        <v>358</v>
      </c>
      <c r="P155" s="457" t="s">
        <v>359</v>
      </c>
      <c r="Q155" s="457" t="s">
        <v>360</v>
      </c>
      <c r="R155" s="524" t="s">
        <v>361</v>
      </c>
      <c r="Z155" s="718"/>
      <c r="AC155" s="718"/>
      <c r="AD155" s="718"/>
      <c r="AE155" s="718"/>
    </row>
    <row r="156" spans="1:31" ht="14" x14ac:dyDescent="0.3">
      <c r="A156" s="728" t="s">
        <v>275</v>
      </c>
      <c r="B156" s="183">
        <f>VLOOKUP(B154,'[3]DB Gas FLow Analyzer'!A220:M235,10,FALSE)</f>
        <v>2019</v>
      </c>
      <c r="C156" s="183" t="str">
        <f>VLOOKUP(B154,'[3]DB Gas FLow Analyzer'!A220:M235,11,FALSE)</f>
        <v>-</v>
      </c>
      <c r="D156" s="183" t="str">
        <f>VLOOKUP(B154,'[3]DB Gas FLow Analyzer'!A220:M235,12,FALSE)</f>
        <v>-</v>
      </c>
      <c r="E156" s="1125"/>
      <c r="F156" s="1127"/>
      <c r="I156" s="729">
        <f>A166</f>
        <v>10</v>
      </c>
      <c r="J156" s="730">
        <f>FORECAST(B166,B157:B162,A157:A162)</f>
        <v>2.3090842872554616E-2</v>
      </c>
      <c r="K156" s="731">
        <f>FORECAST(C166,E157:E162,A157:A162)</f>
        <v>2.5469800706158554E-7</v>
      </c>
      <c r="L156" s="732">
        <f>FORECAST(C166,F157:F162,A157:A162)</f>
        <v>9.9914458593857725E-2</v>
      </c>
      <c r="M156" s="730">
        <f>1/3*L156</f>
        <v>3.3304819531285904E-2</v>
      </c>
      <c r="O156" s="733">
        <f>UB!J44</f>
        <v>0.58879558868290016</v>
      </c>
      <c r="P156" s="457">
        <f>MAX(O156:O162)</f>
        <v>0.58879558868290016</v>
      </c>
      <c r="Q156" s="266" t="str">
        <f>IF(P156&gt;=10,"0",IF(P156&lt;1,"0.00","0.0"))</f>
        <v>0.00</v>
      </c>
      <c r="R156" s="734" t="str">
        <f>TEXT(O156,$Q$156)</f>
        <v>0.59</v>
      </c>
      <c r="Z156" s="718"/>
      <c r="AC156" s="718"/>
      <c r="AD156" s="718"/>
      <c r="AE156" s="718"/>
    </row>
    <row r="157" spans="1:31" x14ac:dyDescent="0.3">
      <c r="A157" s="729">
        <f>VLOOKUP(A154,B46:H61,2)</f>
        <v>9.9999999999999995E-7</v>
      </c>
      <c r="B157" s="730">
        <f>VLOOKUP($A$154,B46:H61,3,FALSE)</f>
        <v>9.9999999999999995E-7</v>
      </c>
      <c r="C157" s="730" t="str">
        <f>VLOOKUP($A$154,B46:H61,4,FALSE)</f>
        <v>-</v>
      </c>
      <c r="D157" s="730" t="str">
        <f>VLOOKUP($A$154,B46:H61,5,FALSE)</f>
        <v>-</v>
      </c>
      <c r="E157" s="730">
        <f>VLOOKUP($A$154,B46:H61,6,FALSE)</f>
        <v>9.9999999999999995E-7</v>
      </c>
      <c r="F157" s="730">
        <f>VLOOKUP($A$154,B46:H61,7,FALSE)</f>
        <v>9.9999999999999995E-7</v>
      </c>
      <c r="I157" s="729">
        <f t="shared" ref="I157:I160" si="112">A167</f>
        <v>15</v>
      </c>
      <c r="J157" s="730">
        <f>FORECAST(B167,B157:B162,A157:A162)</f>
        <v>3.5934644087996043E-2</v>
      </c>
      <c r="K157" s="730">
        <f>FORECAST(C167,E157:E162,A157:A162)</f>
        <v>2.2761171838657667E-7</v>
      </c>
      <c r="L157" s="732">
        <f>FORECAST(C167,F157:F162,A157:A162)</f>
        <v>0.13615153584723441</v>
      </c>
      <c r="M157" s="731">
        <f>1/3*L157</f>
        <v>4.5383845282411468E-2</v>
      </c>
      <c r="O157" s="733">
        <f>[3]UB!J28</f>
        <v>0.58181537051264076</v>
      </c>
      <c r="P157" s="457"/>
      <c r="Q157" s="457"/>
      <c r="R157" s="734" t="str">
        <f t="shared" ref="R157:R162" si="113">TEXT(O157,$Q$156)</f>
        <v>0.58</v>
      </c>
      <c r="Z157" s="718"/>
      <c r="AC157" s="718"/>
      <c r="AD157" s="718"/>
      <c r="AE157" s="718"/>
    </row>
    <row r="158" spans="1:31" x14ac:dyDescent="0.3">
      <c r="A158" s="729">
        <f>VLOOKUP(A154,B62:H77,2,FALSE)</f>
        <v>1.97</v>
      </c>
      <c r="B158" s="730">
        <f>VLOOKUP($A$154,B62:H77,3,FALSE)</f>
        <v>-0.01</v>
      </c>
      <c r="C158" s="730" t="str">
        <f>VLOOKUP($A$154,B62:H77,4,FALSE)</f>
        <v>-</v>
      </c>
      <c r="D158" s="730" t="str">
        <f>VLOOKUP($A$154,B62:H77,5,FALSE)</f>
        <v>-</v>
      </c>
      <c r="E158" s="730">
        <f>VLOOKUP($A$154,B62:H77,6,FALSE)</f>
        <v>0</v>
      </c>
      <c r="F158" s="730">
        <f>VLOOKUP($A$154,B62:H77,7,FALSE)</f>
        <v>2.2735999999999999E-2</v>
      </c>
      <c r="I158" s="729">
        <f t="shared" si="112"/>
        <v>20</v>
      </c>
      <c r="J158" s="730">
        <f>FORECAST(B168,B157:B162,A157:A162)</f>
        <v>4.8778445303437466E-2</v>
      </c>
      <c r="K158" s="730">
        <f>FORECAST(C168,E157:E162,A157:A162)</f>
        <v>2.0052542971156781E-7</v>
      </c>
      <c r="L158" s="732">
        <f>FORECAST(C168,F157:F162,A157:A162)</f>
        <v>0.17238861310061107</v>
      </c>
      <c r="M158" s="731">
        <f>1/3*L158</f>
        <v>5.7462871033537019E-2</v>
      </c>
      <c r="N158" s="624"/>
      <c r="O158" s="733">
        <f>[3]UB!J41</f>
        <v>0.58256115868666736</v>
      </c>
      <c r="P158" s="457"/>
      <c r="Q158" s="457"/>
      <c r="R158" s="734" t="str">
        <f t="shared" si="113"/>
        <v>0.58</v>
      </c>
      <c r="Z158" s="718"/>
      <c r="AC158" s="718"/>
      <c r="AD158" s="718"/>
      <c r="AE158" s="718"/>
    </row>
    <row r="159" spans="1:31" ht="15" x14ac:dyDescent="0.3">
      <c r="A159" s="729">
        <f>VLOOKUP(A154,B78:H93,2)</f>
        <v>7.97</v>
      </c>
      <c r="B159" s="730">
        <f>VLOOKUP($A$154,B78:H93,3,FALSE)</f>
        <v>0.02</v>
      </c>
      <c r="C159" s="730" t="str">
        <f>VLOOKUP($A$154,B78:H93,4,FALSE)</f>
        <v>-</v>
      </c>
      <c r="D159" s="730" t="str">
        <f>VLOOKUP($A$154,B78:H93,5,FALSE)</f>
        <v>-</v>
      </c>
      <c r="E159" s="730">
        <f>VLOOKUP($A$154,B78:H93,6,FALSE)</f>
        <v>0</v>
      </c>
      <c r="F159" s="730">
        <f>VLOOKUP($A$154,B78:H93,7,FALSE)</f>
        <v>9.2452000000000006E-2</v>
      </c>
      <c r="I159" s="729">
        <f t="shared" si="112"/>
        <v>25</v>
      </c>
      <c r="J159" s="730">
        <f>FORECAST(B169,B157:B162,A157:A162)</f>
        <v>6.162224651887889E-2</v>
      </c>
      <c r="K159" s="730">
        <f>FORECAST(C169,E157:E162,A157:A162)</f>
        <v>1.7343914103655895E-7</v>
      </c>
      <c r="L159" s="732">
        <f>FORECAST(C169,F157:F162,A157:A162)</f>
        <v>0.20862569035398776</v>
      </c>
      <c r="M159" s="731">
        <f>1/3*L159</f>
        <v>6.9541896784662577E-2</v>
      </c>
      <c r="N159" s="719"/>
      <c r="O159" s="733">
        <f>[3]UB!J54</f>
        <v>0.58342495816849937</v>
      </c>
      <c r="P159" s="457"/>
      <c r="Q159" s="457"/>
      <c r="R159" s="734" t="str">
        <f t="shared" si="113"/>
        <v>0.58</v>
      </c>
      <c r="Z159" s="718"/>
      <c r="AC159" s="718"/>
      <c r="AD159" s="718"/>
      <c r="AE159" s="718"/>
    </row>
    <row r="160" spans="1:31" x14ac:dyDescent="0.3">
      <c r="A160" s="729">
        <f>VLOOKUP(A154,B94:H109,2)</f>
        <v>19.829999999999998</v>
      </c>
      <c r="B160" s="730">
        <f>VLOOKUP($A$154,B94:H109,3,FALSE)</f>
        <v>0.09</v>
      </c>
      <c r="C160" s="730" t="str">
        <f>VLOOKUP($A$154,B94:H109,4,FALSE)</f>
        <v>-</v>
      </c>
      <c r="D160" s="730" t="str">
        <f>VLOOKUP($A$154,B94:H109,5,FALSE)</f>
        <v>-</v>
      </c>
      <c r="E160" s="730">
        <f>VLOOKUP($A$154,B94:H109,6,FALSE)</f>
        <v>0</v>
      </c>
      <c r="F160" s="730">
        <f>VLOOKUP($A$154,B94:H109,7,FALSE)</f>
        <v>0.23002800000000001</v>
      </c>
      <c r="I160" s="729">
        <f t="shared" si="112"/>
        <v>30</v>
      </c>
      <c r="J160" s="730">
        <f>FORECAST(B170,B157:B162,A157:A162)</f>
        <v>7.446604773432032E-2</v>
      </c>
      <c r="K160" s="730">
        <f>FORECAST(C170,E157:E162,A157:A162)</f>
        <v>1.4635285236155012E-7</v>
      </c>
      <c r="L160" s="732">
        <f>FORECAST(C170,F157:F162,A157:A162)</f>
        <v>0.24486276760736439</v>
      </c>
      <c r="M160" s="731">
        <f t="shared" ref="M160" si="114">1/3*L160</f>
        <v>8.1620922535788121E-2</v>
      </c>
      <c r="N160" s="624"/>
      <c r="O160" s="735">
        <f>[3]UB!J67</f>
        <v>0.58440648711863341</v>
      </c>
      <c r="P160" s="203"/>
      <c r="Q160" s="203"/>
      <c r="R160" s="734" t="str">
        <f t="shared" si="113"/>
        <v>0.58</v>
      </c>
      <c r="Z160" s="718"/>
      <c r="AC160" s="718"/>
      <c r="AD160" s="718"/>
      <c r="AE160" s="718"/>
    </row>
    <row r="161" spans="1:31" x14ac:dyDescent="0.3">
      <c r="A161" s="729">
        <f>VLOOKUP(A154,B110:H125,2)</f>
        <v>50.7</v>
      </c>
      <c r="B161" s="730">
        <f>VLOOKUP($A$154,B110:H125,3,FALSE)</f>
        <v>0.06</v>
      </c>
      <c r="C161" s="730" t="str">
        <f>VLOOKUP($A$154,B110:H125,4,FALSE)</f>
        <v>-</v>
      </c>
      <c r="D161" s="730" t="str">
        <f>VLOOKUP($A$154,B110:H125,5,FALSE)</f>
        <v>-</v>
      </c>
      <c r="E161" s="730">
        <f>VLOOKUP($A$154,B110:H125,6,FALSE)</f>
        <v>0</v>
      </c>
      <c r="F161" s="730">
        <f>VLOOKUP($A$154,B110:H125,7,FALSE)</f>
        <v>0.38024999999999998</v>
      </c>
      <c r="I161" s="729"/>
      <c r="J161" s="730"/>
      <c r="K161" s="730"/>
      <c r="L161" s="732"/>
      <c r="M161" s="731"/>
      <c r="N161" s="534"/>
      <c r="O161" s="735"/>
      <c r="P161" s="736"/>
      <c r="Q161" s="736"/>
      <c r="R161" s="734" t="str">
        <f t="shared" si="113"/>
        <v>0.00</v>
      </c>
      <c r="Z161" s="718"/>
      <c r="AC161" s="718"/>
      <c r="AD161" s="718"/>
      <c r="AE161" s="718"/>
    </row>
    <row r="162" spans="1:31" x14ac:dyDescent="0.3">
      <c r="A162" s="729">
        <f>VLOOKUP(A154,B126:H141,2)</f>
        <v>77.42</v>
      </c>
      <c r="B162" s="730">
        <f>VLOOKUP($A$154,B126:H141,3,FALSE)</f>
        <v>0.23</v>
      </c>
      <c r="C162" s="730" t="str">
        <f>VLOOKUP($A$154,B126:H141,4,FALSE)</f>
        <v>-</v>
      </c>
      <c r="D162" s="730" t="str">
        <f>VLOOKUP($A$154,B126:H141,5,FALSE)</f>
        <v>-</v>
      </c>
      <c r="E162" s="730">
        <f>VLOOKUP($A$154,B126:H141,6,FALSE)</f>
        <v>0</v>
      </c>
      <c r="F162" s="730">
        <f>VLOOKUP($A$154,B126:H141,7,FALSE)</f>
        <v>0.58065</v>
      </c>
      <c r="H162" s="624"/>
      <c r="I162" s="729"/>
      <c r="J162" s="730"/>
      <c r="K162" s="730"/>
      <c r="L162" s="732"/>
      <c r="M162" s="731"/>
      <c r="N162" s="624"/>
      <c r="O162" s="735"/>
      <c r="P162" s="203"/>
      <c r="Q162" s="203"/>
      <c r="R162" s="734" t="str">
        <f t="shared" si="113"/>
        <v>0.00</v>
      </c>
      <c r="Z162" s="718"/>
      <c r="AC162" s="718"/>
      <c r="AD162" s="718"/>
      <c r="AE162" s="718"/>
    </row>
    <row r="163" spans="1:31" x14ac:dyDescent="0.3">
      <c r="A163" s="534"/>
      <c r="B163" s="624"/>
      <c r="C163" s="624"/>
      <c r="D163" s="534"/>
      <c r="E163" s="624"/>
      <c r="F163" s="40"/>
      <c r="G163" s="534"/>
      <c r="H163" s="624"/>
      <c r="I163" s="534"/>
      <c r="J163" s="624"/>
      <c r="K163" s="624"/>
      <c r="L163" s="40"/>
      <c r="M163" s="534"/>
      <c r="N163" s="624"/>
      <c r="O163" s="534"/>
      <c r="P163" s="624"/>
      <c r="Q163" s="624"/>
      <c r="Z163" s="718"/>
      <c r="AC163" s="718"/>
      <c r="AD163" s="718"/>
      <c r="AE163" s="718"/>
    </row>
    <row r="164" spans="1:31" ht="19.5" customHeight="1" x14ac:dyDescent="0.3">
      <c r="A164" s="1116" t="s">
        <v>109</v>
      </c>
      <c r="B164" s="1116" t="s">
        <v>200</v>
      </c>
      <c r="C164" s="1116" t="s">
        <v>201</v>
      </c>
      <c r="D164" s="1116" t="s">
        <v>202</v>
      </c>
      <c r="E164" s="1116" t="s">
        <v>283</v>
      </c>
      <c r="F164" s="1116" t="s">
        <v>284</v>
      </c>
      <c r="G164" s="1113" t="s">
        <v>154</v>
      </c>
      <c r="H164" s="1114" t="s">
        <v>157</v>
      </c>
      <c r="I164" s="1114" t="s">
        <v>285</v>
      </c>
      <c r="J164" s="1115" t="s">
        <v>286</v>
      </c>
      <c r="K164" s="1116" t="s">
        <v>356</v>
      </c>
      <c r="L164" s="1117" t="s">
        <v>288</v>
      </c>
      <c r="M164" s="1118" t="s">
        <v>287</v>
      </c>
      <c r="N164" s="1095" t="s">
        <v>357</v>
      </c>
      <c r="Q164" s="737"/>
      <c r="R164" s="534"/>
      <c r="Z164" s="40"/>
    </row>
    <row r="165" spans="1:31" ht="21" customHeight="1" x14ac:dyDescent="0.3">
      <c r="A165" s="1116"/>
      <c r="B165" s="1116"/>
      <c r="C165" s="1116"/>
      <c r="D165" s="1116"/>
      <c r="E165" s="1116"/>
      <c r="F165" s="1116"/>
      <c r="G165" s="1113"/>
      <c r="H165" s="1114"/>
      <c r="I165" s="1114"/>
      <c r="J165" s="1115"/>
      <c r="K165" s="1116"/>
      <c r="L165" s="1117"/>
      <c r="M165" s="1118"/>
      <c r="N165" s="1095"/>
      <c r="Q165" s="737"/>
      <c r="Z165" s="40"/>
    </row>
    <row r="166" spans="1:31" x14ac:dyDescent="0.3">
      <c r="A166" s="738">
        <f>ID!D39</f>
        <v>10</v>
      </c>
      <c r="B166" s="739">
        <f>AVERAGE(ID!F39:J39)</f>
        <v>10</v>
      </c>
      <c r="C166" s="739">
        <f>B166+J156</f>
        <v>10.023090842872554</v>
      </c>
      <c r="D166" s="739">
        <f t="shared" ref="D166:D169" si="115">STDEV(B146:F146)</f>
        <v>0</v>
      </c>
      <c r="E166" s="739">
        <f>A166-C166</f>
        <v>-2.3090842872553807E-2</v>
      </c>
      <c r="F166" s="739">
        <f>(E166/A166)*100</f>
        <v>-0.23090842872553807</v>
      </c>
      <c r="G166" s="740">
        <f>(C166-A166)</f>
        <v>2.3090842872553807E-2</v>
      </c>
      <c r="H166" s="740">
        <f>ABS(G166/A166)*100</f>
        <v>0.23090842872553807</v>
      </c>
      <c r="I166" s="740">
        <f>UB!J45</f>
        <v>5.8879558868290012</v>
      </c>
      <c r="J166" s="740">
        <f>H166+I166</f>
        <v>6.1188643155545392</v>
      </c>
      <c r="K166" s="740">
        <f>L156</f>
        <v>9.9914458593857725E-2</v>
      </c>
      <c r="L166" s="1096">
        <f>0.5*ID!E7</f>
        <v>0.5</v>
      </c>
      <c r="M166" s="740">
        <f>IF(K156&gt;0.000001,K156,IF(K156&lt;=0.000001,M156))</f>
        <v>3.3304819531285904E-2</v>
      </c>
      <c r="N166" s="1092">
        <f>0.5*0.01</f>
        <v>5.0000000000000001E-3</v>
      </c>
      <c r="Q166" s="741"/>
      <c r="Z166" s="40"/>
    </row>
    <row r="167" spans="1:31" x14ac:dyDescent="0.3">
      <c r="A167" s="738">
        <f>ID!D40</f>
        <v>15</v>
      </c>
      <c r="B167" s="739">
        <f>AVERAGE(ID!F40:J40)</f>
        <v>15</v>
      </c>
      <c r="C167" s="739">
        <f>B167+J157</f>
        <v>15.035934644087996</v>
      </c>
      <c r="D167" s="739">
        <f t="shared" si="115"/>
        <v>0</v>
      </c>
      <c r="E167" s="739">
        <f t="shared" ref="E167:E170" si="116">A167-C167</f>
        <v>-3.5934644087996404E-2</v>
      </c>
      <c r="F167" s="739">
        <f t="shared" ref="F167:F170" si="117">(E167/A167)*100</f>
        <v>-0.23956429391997605</v>
      </c>
      <c r="G167" s="740">
        <f t="shared" ref="G167:G170" si="118">(C167-A167)</f>
        <v>3.5934644087996404E-2</v>
      </c>
      <c r="H167" s="740">
        <f>ABS(G167/A167)*100</f>
        <v>0.23956429391997605</v>
      </c>
      <c r="I167" s="740">
        <f>UB!J59</f>
        <v>3.9759805546464868</v>
      </c>
      <c r="J167" s="740">
        <f>H167+I167</f>
        <v>4.2155448485664628</v>
      </c>
      <c r="K167" s="740">
        <f>L157</f>
        <v>0.13615153584723441</v>
      </c>
      <c r="L167" s="1097"/>
      <c r="M167" s="740">
        <f>IF(K157&gt;0.000001,K157,IF(K157&lt;=0.000001,M157))</f>
        <v>4.5383845282411468E-2</v>
      </c>
      <c r="N167" s="1093"/>
      <c r="Q167" s="741"/>
      <c r="W167" s="742"/>
      <c r="X167" s="742"/>
      <c r="Y167" s="57"/>
      <c r="Z167" s="40"/>
    </row>
    <row r="168" spans="1:31" x14ac:dyDescent="0.3">
      <c r="A168" s="738">
        <f>ID!D41</f>
        <v>20</v>
      </c>
      <c r="B168" s="739">
        <f>AVERAGE(ID!F41:J41)</f>
        <v>20</v>
      </c>
      <c r="C168" s="739">
        <f>B168+J158</f>
        <v>20.048778445303437</v>
      </c>
      <c r="D168" s="739">
        <f t="shared" si="115"/>
        <v>0</v>
      </c>
      <c r="E168" s="739">
        <f t="shared" si="116"/>
        <v>-4.8778445303437223E-2</v>
      </c>
      <c r="F168" s="739">
        <f t="shared" si="117"/>
        <v>-0.24389222651718612</v>
      </c>
      <c r="G168" s="740">
        <f t="shared" si="118"/>
        <v>4.8778445303437223E-2</v>
      </c>
      <c r="H168" s="740">
        <f>ABS(G168/A168)*100</f>
        <v>0.24389222651718612</v>
      </c>
      <c r="I168" s="740">
        <f>UB!J73</f>
        <v>3.0312209549949238</v>
      </c>
      <c r="J168" s="740">
        <f t="shared" ref="J168:J170" si="119">H168+I168</f>
        <v>3.2751131815121099</v>
      </c>
      <c r="K168" s="740">
        <f>L158</f>
        <v>0.17238861310061107</v>
      </c>
      <c r="L168" s="1097"/>
      <c r="M168" s="740">
        <f>IF(K158&gt;0.000001,K158,IF(K158&lt;=0.000001,M158))</f>
        <v>5.7462871033537019E-2</v>
      </c>
      <c r="N168" s="1093"/>
      <c r="Q168" s="741"/>
      <c r="W168" s="40"/>
      <c r="X168" s="40"/>
      <c r="Y168" s="40"/>
      <c r="Z168" s="40"/>
    </row>
    <row r="169" spans="1:31" x14ac:dyDescent="0.3">
      <c r="A169" s="738">
        <f>ID!D42</f>
        <v>25</v>
      </c>
      <c r="B169" s="739">
        <f>AVERAGE(ID!F42:J42)</f>
        <v>25</v>
      </c>
      <c r="C169" s="739">
        <f t="shared" ref="C169:C170" si="120">B169+J159</f>
        <v>25.06162224651888</v>
      </c>
      <c r="D169" s="739">
        <f t="shared" si="115"/>
        <v>0</v>
      </c>
      <c r="E169" s="739">
        <f t="shared" si="116"/>
        <v>-6.162224651887982E-2</v>
      </c>
      <c r="F169" s="739">
        <f t="shared" si="117"/>
        <v>-0.24648898607551928</v>
      </c>
      <c r="G169" s="740">
        <f t="shared" si="118"/>
        <v>6.162224651887982E-2</v>
      </c>
      <c r="H169" s="740">
        <f>ABS(G169/A169)*100</f>
        <v>0.24648898607551928</v>
      </c>
      <c r="I169" s="740">
        <f>UB!J87</f>
        <v>2.4730547449539846</v>
      </c>
      <c r="J169" s="740">
        <f t="shared" si="119"/>
        <v>2.7195437310295039</v>
      </c>
      <c r="K169" s="740">
        <f t="shared" ref="K169:K170" si="121">L159</f>
        <v>0.20862569035398776</v>
      </c>
      <c r="L169" s="1097"/>
      <c r="M169" s="740">
        <f>IF(K159&gt;0.000001,K159,IF(K159&lt;=0.000001,M159))</f>
        <v>6.9541896784662577E-2</v>
      </c>
      <c r="N169" s="1093"/>
      <c r="Q169" s="741"/>
    </row>
    <row r="170" spans="1:31" x14ac:dyDescent="0.3">
      <c r="A170" s="738">
        <f>ID!D43</f>
        <v>30</v>
      </c>
      <c r="B170" s="739">
        <f>AVERAGE(ID!F43:J43)</f>
        <v>30</v>
      </c>
      <c r="C170" s="739">
        <f t="shared" si="120"/>
        <v>30.074466047734319</v>
      </c>
      <c r="D170" s="739">
        <f>STDEV(B150:F150)</f>
        <v>0</v>
      </c>
      <c r="E170" s="739">
        <f t="shared" si="116"/>
        <v>-7.4466047734318863E-2</v>
      </c>
      <c r="F170" s="739">
        <f t="shared" si="117"/>
        <v>-0.24822015911439621</v>
      </c>
      <c r="G170" s="740">
        <f t="shared" si="118"/>
        <v>7.4466047734318863E-2</v>
      </c>
      <c r="H170" s="740">
        <f t="shared" ref="H170" si="122">ABS(G170/A170)*100</f>
        <v>0.24822015911439621</v>
      </c>
      <c r="I170" s="740">
        <f>UB!J101</f>
        <v>2.1078821207533198</v>
      </c>
      <c r="J170" s="740">
        <f t="shared" si="119"/>
        <v>2.356102279867716</v>
      </c>
      <c r="K170" s="740">
        <f t="shared" si="121"/>
        <v>0.24486276760736439</v>
      </c>
      <c r="L170" s="1098"/>
      <c r="M170" s="740">
        <f t="shared" ref="M170" si="123">IF(K160&gt;0.000001,K160,IF(K160&lt;=0.000001,M160))</f>
        <v>8.1620922535788121E-2</v>
      </c>
      <c r="N170" s="1094"/>
      <c r="Q170" s="741"/>
    </row>
    <row r="171" spans="1:31" x14ac:dyDescent="0.3">
      <c r="A171" s="738"/>
      <c r="B171" s="739"/>
      <c r="C171" s="739"/>
      <c r="D171" s="739"/>
      <c r="E171" s="739"/>
      <c r="F171" s="739"/>
      <c r="G171" s="740"/>
      <c r="H171" s="740"/>
      <c r="I171" s="740"/>
      <c r="J171" s="740"/>
      <c r="K171" s="740"/>
      <c r="L171" s="740"/>
      <c r="M171" s="740"/>
      <c r="Q171" s="741"/>
    </row>
    <row r="172" spans="1:31" x14ac:dyDescent="0.3">
      <c r="A172" s="738"/>
      <c r="B172" s="739"/>
      <c r="C172" s="739"/>
      <c r="D172" s="739"/>
      <c r="E172" s="739"/>
      <c r="F172" s="739"/>
      <c r="G172" s="740"/>
      <c r="H172" s="740"/>
      <c r="I172" s="740"/>
      <c r="J172" s="740"/>
      <c r="K172" s="740"/>
      <c r="L172" s="740"/>
      <c r="M172" s="740"/>
      <c r="Q172" s="741"/>
    </row>
    <row r="174" spans="1:31" x14ac:dyDescent="0.3">
      <c r="O174" s="1119"/>
      <c r="P174" s="1119"/>
      <c r="Q174" s="743"/>
      <c r="R174" s="743"/>
      <c r="S174" s="744"/>
      <c r="T174" s="745"/>
      <c r="U174" s="40"/>
      <c r="AE174" s="11"/>
    </row>
    <row r="175" spans="1:31" x14ac:dyDescent="0.3">
      <c r="A175" s="451" t="s">
        <v>362</v>
      </c>
      <c r="O175" s="1120"/>
      <c r="P175" s="1120"/>
      <c r="Q175" s="746"/>
      <c r="R175" s="746"/>
      <c r="S175" s="747"/>
      <c r="T175" s="745"/>
      <c r="U175" s="40"/>
      <c r="V175" s="748"/>
      <c r="W175" s="9"/>
      <c r="X175" s="9"/>
      <c r="Y175" s="9"/>
      <c r="Z175" s="11"/>
      <c r="AE175" s="25"/>
    </row>
    <row r="176" spans="1:31" ht="14" x14ac:dyDescent="0.3">
      <c r="A176" s="451" t="s">
        <v>290</v>
      </c>
      <c r="O176" s="1120"/>
      <c r="P176" s="1120"/>
      <c r="Q176" s="746"/>
      <c r="R176" s="746"/>
      <c r="S176" s="747"/>
      <c r="T176" s="745"/>
      <c r="U176" s="40"/>
      <c r="V176" s="749"/>
      <c r="W176" s="24"/>
      <c r="X176" s="24"/>
      <c r="Y176" s="24"/>
      <c r="Z176" s="25"/>
      <c r="AA176" s="749"/>
      <c r="AB176" s="31"/>
      <c r="AC176" s="31"/>
      <c r="AD176" s="31"/>
      <c r="AE176" s="32"/>
    </row>
    <row r="177" spans="1:7" x14ac:dyDescent="0.3">
      <c r="A177" s="451" t="s">
        <v>363</v>
      </c>
    </row>
    <row r="178" spans="1:7" x14ac:dyDescent="0.3">
      <c r="A178" s="451" t="s">
        <v>116</v>
      </c>
      <c r="F178" s="48"/>
      <c r="G178" s="48"/>
    </row>
    <row r="179" spans="1:7" x14ac:dyDescent="0.3">
      <c r="A179" s="451" t="s">
        <v>299</v>
      </c>
    </row>
    <row r="180" spans="1:7" x14ac:dyDescent="0.3">
      <c r="A180" s="451" t="s">
        <v>297</v>
      </c>
    </row>
    <row r="181" spans="1:7" x14ac:dyDescent="0.3">
      <c r="A181" s="451" t="s">
        <v>292</v>
      </c>
    </row>
    <row r="182" spans="1:7" x14ac:dyDescent="0.3">
      <c r="A182" s="451" t="s">
        <v>296</v>
      </c>
    </row>
    <row r="183" spans="1:7" x14ac:dyDescent="0.3">
      <c r="A183" s="451" t="s">
        <v>293</v>
      </c>
    </row>
    <row r="184" spans="1:7" x14ac:dyDescent="0.3">
      <c r="A184" s="451" t="s">
        <v>305</v>
      </c>
    </row>
    <row r="185" spans="1:7" x14ac:dyDescent="0.3">
      <c r="A185" s="451" t="s">
        <v>295</v>
      </c>
    </row>
    <row r="186" spans="1:7" x14ac:dyDescent="0.3">
      <c r="A186" s="451" t="s">
        <v>364</v>
      </c>
    </row>
    <row r="187" spans="1:7" x14ac:dyDescent="0.3">
      <c r="A187" s="451" t="s">
        <v>302</v>
      </c>
    </row>
    <row r="188" spans="1:7" x14ac:dyDescent="0.3">
      <c r="A188" s="451" t="s">
        <v>298</v>
      </c>
    </row>
    <row r="189" spans="1:7" x14ac:dyDescent="0.3">
      <c r="A189" s="451" t="s">
        <v>294</v>
      </c>
    </row>
    <row r="190" spans="1:7" x14ac:dyDescent="0.3">
      <c r="A190" s="451" t="s">
        <v>291</v>
      </c>
    </row>
    <row r="191" spans="1:7" x14ac:dyDescent="0.3">
      <c r="A191" s="451" t="s">
        <v>306</v>
      </c>
    </row>
    <row r="192" spans="1:7" x14ac:dyDescent="0.3">
      <c r="A192" s="451" t="s">
        <v>301</v>
      </c>
    </row>
    <row r="193" spans="1:9" x14ac:dyDescent="0.3">
      <c r="A193" s="451" t="s">
        <v>365</v>
      </c>
    </row>
    <row r="194" spans="1:9" x14ac:dyDescent="0.3">
      <c r="A194" s="451" t="s">
        <v>307</v>
      </c>
    </row>
    <row r="195" spans="1:9" x14ac:dyDescent="0.3">
      <c r="A195" s="451" t="s">
        <v>300</v>
      </c>
    </row>
    <row r="196" spans="1:9" x14ac:dyDescent="0.3">
      <c r="A196" s="451" t="s">
        <v>304</v>
      </c>
    </row>
    <row r="197" spans="1:9" x14ac:dyDescent="0.3">
      <c r="A197" s="451" t="s">
        <v>366</v>
      </c>
    </row>
    <row r="198" spans="1:9" x14ac:dyDescent="0.3">
      <c r="A198" s="451" t="s">
        <v>303</v>
      </c>
    </row>
    <row r="199" spans="1:9" x14ac:dyDescent="0.3">
      <c r="A199" s="451" t="s">
        <v>367</v>
      </c>
    </row>
    <row r="200" spans="1:9" ht="14.5" x14ac:dyDescent="0.35">
      <c r="A200" s="750"/>
    </row>
    <row r="201" spans="1:9" ht="15" thickBot="1" x14ac:dyDescent="0.4">
      <c r="A201" s="750"/>
    </row>
    <row r="202" spans="1:9" x14ac:dyDescent="0.3">
      <c r="A202" s="751"/>
      <c r="B202" s="38"/>
      <c r="C202" s="38"/>
      <c r="D202" s="38"/>
      <c r="E202" s="38"/>
      <c r="F202" s="38"/>
      <c r="G202" s="38"/>
      <c r="H202" s="38"/>
      <c r="I202" s="752"/>
    </row>
    <row r="203" spans="1:9" x14ac:dyDescent="0.3">
      <c r="A203" s="753" t="s">
        <v>106</v>
      </c>
      <c r="I203" s="754"/>
    </row>
    <row r="204" spans="1:9" x14ac:dyDescent="0.3">
      <c r="A204" s="753" t="s">
        <v>308</v>
      </c>
      <c r="I204" s="754"/>
    </row>
    <row r="205" spans="1:9" x14ac:dyDescent="0.3">
      <c r="A205" s="753"/>
      <c r="I205" s="754"/>
    </row>
    <row r="206" spans="1:9" x14ac:dyDescent="0.3">
      <c r="A206" s="753" t="s">
        <v>94</v>
      </c>
      <c r="I206" s="754"/>
    </row>
    <row r="207" spans="1:9" x14ac:dyDescent="0.3">
      <c r="A207" s="753"/>
      <c r="I207" s="754"/>
    </row>
    <row r="208" spans="1:9" x14ac:dyDescent="0.3">
      <c r="A208" s="753"/>
      <c r="I208" s="754"/>
    </row>
    <row r="209" spans="1:26" x14ac:dyDescent="0.3">
      <c r="A209" s="753"/>
      <c r="I209" s="754"/>
    </row>
    <row r="210" spans="1:26" ht="14" x14ac:dyDescent="0.3">
      <c r="A210" s="755" t="s">
        <v>111</v>
      </c>
      <c r="I210" s="754"/>
    </row>
    <row r="211" spans="1:26" ht="14" x14ac:dyDescent="0.3">
      <c r="A211" s="755" t="s">
        <v>111</v>
      </c>
      <c r="I211" s="754"/>
    </row>
    <row r="212" spans="1:26" ht="14" x14ac:dyDescent="0.3">
      <c r="A212" s="755"/>
      <c r="I212" s="754"/>
    </row>
    <row r="213" spans="1:26" x14ac:dyDescent="0.3">
      <c r="A213" s="756" t="s">
        <v>309</v>
      </c>
      <c r="I213" s="754"/>
    </row>
    <row r="214" spans="1:26" ht="15.5" x14ac:dyDescent="0.35">
      <c r="A214" s="756" t="s">
        <v>310</v>
      </c>
      <c r="I214" s="754"/>
      <c r="U214" s="757"/>
    </row>
    <row r="215" spans="1:26" ht="15.5" x14ac:dyDescent="0.35">
      <c r="A215" s="756" t="s">
        <v>311</v>
      </c>
      <c r="I215" s="754"/>
      <c r="U215" s="757"/>
    </row>
    <row r="216" spans="1:26" ht="15.5" x14ac:dyDescent="0.35">
      <c r="A216" s="756"/>
      <c r="I216" s="754"/>
      <c r="U216" s="757"/>
    </row>
    <row r="217" spans="1:26" ht="16" thickBot="1" x14ac:dyDescent="0.4">
      <c r="A217" s="758" t="s">
        <v>439</v>
      </c>
      <c r="B217" s="332"/>
      <c r="C217" s="332"/>
      <c r="D217" s="332"/>
      <c r="E217" s="332"/>
      <c r="F217" s="332"/>
      <c r="G217" s="332"/>
      <c r="H217" s="332"/>
      <c r="I217" s="759"/>
      <c r="U217" s="757"/>
    </row>
    <row r="218" spans="1:26" ht="13.5" thickBot="1" x14ac:dyDescent="0.35">
      <c r="A218" s="753"/>
    </row>
    <row r="219" spans="1:26" ht="13.5" x14ac:dyDescent="0.3">
      <c r="A219" s="1099" t="str">
        <f>ID!B55</f>
        <v>Gas Flow Analyzer, Merek : Fluke, Model : VT305, SN : BF102142</v>
      </c>
      <c r="B219" s="1100"/>
      <c r="C219" s="1100"/>
      <c r="D219" s="1100"/>
      <c r="E219" s="1100"/>
      <c r="F219" s="1100"/>
      <c r="G219" s="1100"/>
      <c r="H219" s="1100"/>
      <c r="I219" s="1100"/>
      <c r="J219" s="1101"/>
      <c r="K219" s="1101"/>
      <c r="L219" s="1101"/>
      <c r="M219" s="1102"/>
      <c r="O219" s="1103">
        <f>'[3]DB Gas FLow Analyzer'!A236</f>
        <v>6</v>
      </c>
      <c r="P219" s="1104"/>
      <c r="Q219" s="1104"/>
      <c r="R219" s="1104"/>
      <c r="S219" s="1104"/>
      <c r="T219" s="1104"/>
      <c r="U219" s="1104"/>
      <c r="V219" s="1104"/>
      <c r="W219" s="1104"/>
      <c r="X219" s="1104"/>
      <c r="Y219" s="1104"/>
      <c r="Z219" s="1105"/>
    </row>
    <row r="220" spans="1:26" ht="14" x14ac:dyDescent="0.3">
      <c r="A220" s="760" t="s">
        <v>440</v>
      </c>
      <c r="B220" s="761"/>
      <c r="C220" s="761"/>
      <c r="D220" s="761"/>
      <c r="E220" s="761"/>
      <c r="F220" s="761"/>
      <c r="G220" s="761"/>
      <c r="H220" s="761"/>
      <c r="I220" s="762"/>
      <c r="J220" s="763">
        <f>'[3]DB Gas FLow Analyzer'!B4</f>
        <v>2018</v>
      </c>
      <c r="K220" s="763">
        <f>'[3]DB Gas FLow Analyzer'!C4</f>
        <v>2015</v>
      </c>
      <c r="L220" s="763" t="str">
        <f>'[3]DB Gas FLow Analyzer'!D4</f>
        <v>-</v>
      </c>
      <c r="M220" s="764">
        <v>1</v>
      </c>
      <c r="O220" s="765">
        <v>1</v>
      </c>
      <c r="P220" s="766" t="s">
        <v>368</v>
      </c>
      <c r="Q220" s="767"/>
      <c r="R220" s="767"/>
      <c r="S220" s="767"/>
      <c r="T220" s="767"/>
      <c r="U220" s="767"/>
      <c r="V220" s="767"/>
      <c r="W220" s="767"/>
      <c r="X220" s="767"/>
      <c r="Y220" s="767"/>
      <c r="Z220" s="768"/>
    </row>
    <row r="221" spans="1:26" ht="14" x14ac:dyDescent="0.3">
      <c r="A221" s="760" t="s">
        <v>313</v>
      </c>
      <c r="B221" s="761"/>
      <c r="C221" s="761"/>
      <c r="D221" s="761"/>
      <c r="E221" s="761"/>
      <c r="F221" s="761"/>
      <c r="G221" s="761"/>
      <c r="H221" s="761"/>
      <c r="I221" s="762"/>
      <c r="J221" s="763">
        <f>'[3]DB Gas FLow Analyzer'!B14</f>
        <v>2017</v>
      </c>
      <c r="K221" s="763" t="str">
        <f>'[3]DB Gas FLow Analyzer'!C14</f>
        <v>-</v>
      </c>
      <c r="L221" s="763" t="str">
        <f>'[3]DB Gas FLow Analyzer'!D14</f>
        <v>-</v>
      </c>
      <c r="M221" s="764">
        <v>2</v>
      </c>
      <c r="O221" s="769">
        <v>2</v>
      </c>
      <c r="P221" s="766" t="s">
        <v>368</v>
      </c>
      <c r="Q221" s="767"/>
      <c r="R221" s="767"/>
      <c r="S221" s="767"/>
      <c r="T221" s="767"/>
      <c r="U221" s="767"/>
      <c r="V221" s="767"/>
      <c r="W221" s="767"/>
      <c r="X221" s="767"/>
      <c r="Y221" s="767"/>
      <c r="Z221" s="768"/>
    </row>
    <row r="222" spans="1:26" ht="14" x14ac:dyDescent="0.3">
      <c r="A222" s="760" t="s">
        <v>441</v>
      </c>
      <c r="B222" s="761"/>
      <c r="C222" s="761"/>
      <c r="D222" s="761"/>
      <c r="E222" s="761"/>
      <c r="F222" s="761"/>
      <c r="G222" s="761"/>
      <c r="H222" s="761"/>
      <c r="I222" s="762"/>
      <c r="J222" s="763">
        <f>'[3]DB Gas FLow Analyzer'!B24</f>
        <v>2020</v>
      </c>
      <c r="K222" s="763">
        <f>'[3]DB Gas FLow Analyzer'!C24</f>
        <v>2017</v>
      </c>
      <c r="L222" s="763" t="str">
        <f>'[3]DB Gas FLow Analyzer'!D24</f>
        <v>-</v>
      </c>
      <c r="M222" s="764">
        <v>3</v>
      </c>
      <c r="O222" s="769">
        <v>3</v>
      </c>
      <c r="P222" s="766" t="s">
        <v>369</v>
      </c>
      <c r="Q222" s="767"/>
      <c r="R222" s="767"/>
      <c r="S222" s="767"/>
      <c r="T222" s="767"/>
      <c r="U222" s="767"/>
      <c r="V222" s="767"/>
      <c r="W222" s="767"/>
      <c r="X222" s="767"/>
      <c r="Y222" s="767"/>
      <c r="Z222" s="768"/>
    </row>
    <row r="223" spans="1:26" ht="14" x14ac:dyDescent="0.3">
      <c r="A223" s="770" t="s">
        <v>312</v>
      </c>
      <c r="B223" s="771"/>
      <c r="C223" s="771"/>
      <c r="D223" s="771"/>
      <c r="E223" s="771"/>
      <c r="F223" s="771"/>
      <c r="G223" s="771"/>
      <c r="H223" s="771"/>
      <c r="I223" s="772"/>
      <c r="J223" s="763">
        <f>'[3]DB Gas FLow Analyzer'!B34</f>
        <v>2018</v>
      </c>
      <c r="K223" s="763" t="str">
        <f>'[3]DB Gas FLow Analyzer'!C34</f>
        <v>-</v>
      </c>
      <c r="L223" s="763" t="str">
        <f>'[3]DB Gas FLow Analyzer'!D34</f>
        <v>-</v>
      </c>
      <c r="M223" s="764">
        <v>4</v>
      </c>
      <c r="O223" s="769">
        <v>4</v>
      </c>
      <c r="P223" s="766" t="s">
        <v>368</v>
      </c>
      <c r="Q223" s="767"/>
      <c r="R223" s="767"/>
      <c r="S223" s="767"/>
      <c r="T223" s="767"/>
      <c r="U223" s="767"/>
      <c r="V223" s="767"/>
      <c r="W223" s="767"/>
      <c r="X223" s="767"/>
      <c r="Y223" s="767"/>
      <c r="Z223" s="768"/>
    </row>
    <row r="224" spans="1:26" ht="14" x14ac:dyDescent="0.3">
      <c r="A224" s="770" t="s">
        <v>314</v>
      </c>
      <c r="B224" s="771"/>
      <c r="C224" s="771"/>
      <c r="D224" s="771"/>
      <c r="E224" s="771"/>
      <c r="F224" s="771"/>
      <c r="G224" s="771"/>
      <c r="H224" s="771"/>
      <c r="I224" s="772"/>
      <c r="J224" s="763">
        <f>'[3]DB Gas FLow Analyzer'!I4</f>
        <v>2019</v>
      </c>
      <c r="K224" s="763" t="str">
        <f>'[3]DB Gas FLow Analyzer'!J4</f>
        <v>-</v>
      </c>
      <c r="L224" s="763" t="str">
        <f>'[3]DB Gas FLow Analyzer'!K4</f>
        <v>-</v>
      </c>
      <c r="M224" s="764">
        <v>5</v>
      </c>
      <c r="O224" s="769">
        <v>5</v>
      </c>
      <c r="P224" s="766" t="s">
        <v>370</v>
      </c>
      <c r="Q224" s="767"/>
      <c r="R224" s="767"/>
      <c r="S224" s="767"/>
      <c r="T224" s="767"/>
      <c r="U224" s="767"/>
      <c r="V224" s="767"/>
      <c r="W224" s="767"/>
      <c r="X224" s="767"/>
      <c r="Y224" s="767"/>
      <c r="Z224" s="768"/>
    </row>
    <row r="225" spans="1:26" ht="14" x14ac:dyDescent="0.3">
      <c r="A225" s="770" t="s">
        <v>315</v>
      </c>
      <c r="B225" s="771"/>
      <c r="C225" s="771"/>
      <c r="D225" s="771"/>
      <c r="E225" s="771"/>
      <c r="F225" s="771"/>
      <c r="G225" s="771"/>
      <c r="H225" s="771"/>
      <c r="I225" s="772"/>
      <c r="J225" s="763">
        <f>'[3]DB Gas FLow Analyzer'!I14</f>
        <v>2019</v>
      </c>
      <c r="K225" s="763" t="str">
        <f>'[3]DB Gas FLow Analyzer'!J14</f>
        <v>-</v>
      </c>
      <c r="L225" s="763" t="str">
        <f>'[3]DB Gas FLow Analyzer'!K14</f>
        <v>-</v>
      </c>
      <c r="M225" s="773">
        <v>6</v>
      </c>
      <c r="O225" s="774">
        <v>6</v>
      </c>
      <c r="P225" s="766" t="s">
        <v>370</v>
      </c>
      <c r="Q225" s="767"/>
      <c r="R225" s="775"/>
      <c r="S225" s="775"/>
      <c r="T225" s="775"/>
      <c r="U225" s="775"/>
      <c r="V225" s="775"/>
      <c r="W225" s="775"/>
      <c r="X225" s="767"/>
      <c r="Y225" s="767"/>
      <c r="Z225" s="768"/>
    </row>
    <row r="226" spans="1:26" ht="14" x14ac:dyDescent="0.3">
      <c r="A226" s="770" t="s">
        <v>316</v>
      </c>
      <c r="B226" s="771"/>
      <c r="C226" s="771"/>
      <c r="D226" s="771"/>
      <c r="E226" s="771"/>
      <c r="F226" s="771"/>
      <c r="G226" s="771"/>
      <c r="H226" s="771"/>
      <c r="I226" s="772"/>
      <c r="J226" s="763">
        <f>'[3]DB Gas FLow Analyzer'!I24</f>
        <v>2019</v>
      </c>
      <c r="K226" s="763" t="str">
        <f>'[3]DB Gas FLow Analyzer'!J24</f>
        <v>-</v>
      </c>
      <c r="L226" s="763" t="str">
        <f>'[3]DB Gas FLow Analyzer'!K24</f>
        <v>-</v>
      </c>
      <c r="M226" s="764">
        <v>7</v>
      </c>
      <c r="O226" s="769">
        <v>7</v>
      </c>
      <c r="P226" s="766" t="s">
        <v>369</v>
      </c>
      <c r="Q226" s="767"/>
      <c r="R226" s="767"/>
      <c r="S226" s="767"/>
      <c r="T226" s="767"/>
      <c r="U226" s="767"/>
      <c r="V226" s="767"/>
      <c r="W226" s="767"/>
      <c r="X226" s="767"/>
      <c r="Y226" s="767"/>
      <c r="Z226" s="768"/>
    </row>
    <row r="227" spans="1:26" ht="14" x14ac:dyDescent="0.3">
      <c r="A227" s="770" t="s">
        <v>317</v>
      </c>
      <c r="B227" s="771"/>
      <c r="C227" s="771"/>
      <c r="D227" s="771"/>
      <c r="E227" s="771"/>
      <c r="F227" s="771"/>
      <c r="G227" s="771"/>
      <c r="H227" s="771"/>
      <c r="I227" s="772"/>
      <c r="J227" s="763">
        <f>'[3]DB Gas FLow Analyzer'!I34</f>
        <v>2019</v>
      </c>
      <c r="K227" s="763" t="str">
        <f>'[3]DB Gas FLow Analyzer'!J34</f>
        <v>-</v>
      </c>
      <c r="L227" s="763" t="str">
        <f>'[3]DB Gas FLow Analyzer'!K34</f>
        <v>-</v>
      </c>
      <c r="M227" s="773">
        <v>8</v>
      </c>
      <c r="O227" s="774">
        <v>8</v>
      </c>
      <c r="P227" s="766" t="s">
        <v>369</v>
      </c>
      <c r="Q227" s="767"/>
      <c r="R227" s="775"/>
      <c r="S227" s="775"/>
      <c r="T227" s="775"/>
      <c r="U227" s="775"/>
      <c r="V227" s="775"/>
      <c r="W227" s="775"/>
      <c r="X227" s="775"/>
      <c r="Y227" s="775"/>
      <c r="Z227" s="776"/>
    </row>
    <row r="228" spans="1:26" ht="14" x14ac:dyDescent="0.3">
      <c r="A228" s="770" t="s">
        <v>113</v>
      </c>
      <c r="B228" s="771"/>
      <c r="C228" s="771"/>
      <c r="D228" s="771"/>
      <c r="E228" s="771"/>
      <c r="F228" s="771"/>
      <c r="G228" s="771"/>
      <c r="H228" s="771"/>
      <c r="I228" s="772"/>
      <c r="J228" s="763">
        <f>'[3]DB Gas FLow Analyzer'!P4</f>
        <v>2020</v>
      </c>
      <c r="K228" s="763" t="str">
        <f>'[3]DB Gas FLow Analyzer'!Q4</f>
        <v>-</v>
      </c>
      <c r="L228" s="763" t="str">
        <f>'[3]DB Gas FLow Analyzer'!R4</f>
        <v>-</v>
      </c>
      <c r="M228" s="764">
        <v>9</v>
      </c>
      <c r="O228" s="769">
        <v>9</v>
      </c>
      <c r="P228" s="766" t="s">
        <v>369</v>
      </c>
      <c r="Q228" s="767"/>
      <c r="R228" s="775"/>
      <c r="S228" s="775"/>
      <c r="T228" s="775"/>
      <c r="U228" s="775"/>
      <c r="V228" s="775"/>
      <c r="W228" s="775"/>
      <c r="X228" s="775"/>
      <c r="Y228" s="775"/>
      <c r="Z228" s="776"/>
    </row>
    <row r="229" spans="1:26" ht="14" x14ac:dyDescent="0.3">
      <c r="A229" s="770" t="s">
        <v>371</v>
      </c>
      <c r="B229" s="771"/>
      <c r="C229" s="771"/>
      <c r="D229" s="771"/>
      <c r="E229" s="771"/>
      <c r="F229" s="771"/>
      <c r="G229" s="771"/>
      <c r="H229" s="771"/>
      <c r="I229" s="772"/>
      <c r="J229" s="763">
        <f>'[3]DB Gas FLow Analyzer'!P14</f>
        <v>2022</v>
      </c>
      <c r="K229" s="763" t="str">
        <f>'[3]DB Gas FLow Analyzer'!Q14</f>
        <v>-</v>
      </c>
      <c r="L229" s="763" t="str">
        <f>'[3]DB Gas FLow Analyzer'!R14</f>
        <v>-</v>
      </c>
      <c r="M229" s="773">
        <v>10</v>
      </c>
      <c r="O229" s="774">
        <v>10</v>
      </c>
      <c r="P229" s="766" t="s">
        <v>370</v>
      </c>
      <c r="Q229" s="767"/>
      <c r="R229" s="775"/>
      <c r="S229" s="775"/>
      <c r="T229" s="775"/>
      <c r="U229" s="775"/>
      <c r="V229" s="775"/>
      <c r="W229" s="775"/>
      <c r="X229" s="775"/>
      <c r="Y229" s="775"/>
      <c r="Z229" s="776"/>
    </row>
    <row r="230" spans="1:26" ht="14" x14ac:dyDescent="0.3">
      <c r="A230" s="770" t="s">
        <v>372</v>
      </c>
      <c r="B230" s="771"/>
      <c r="C230" s="771"/>
      <c r="D230" s="771"/>
      <c r="E230" s="771"/>
      <c r="F230" s="771"/>
      <c r="G230" s="771"/>
      <c r="H230" s="771"/>
      <c r="I230" s="772"/>
      <c r="J230" s="763">
        <f>'[3]DB Gas FLow Analyzer'!P24</f>
        <v>2022</v>
      </c>
      <c r="K230" s="763" t="str">
        <f>'[3]DB Gas FLow Analyzer'!Q24</f>
        <v>-</v>
      </c>
      <c r="L230" s="763" t="str">
        <f>'[3]DB Gas FLow Analyzer'!R24</f>
        <v>-</v>
      </c>
      <c r="M230" s="764">
        <v>11</v>
      </c>
      <c r="O230" s="769">
        <v>11</v>
      </c>
      <c r="P230" s="766" t="s">
        <v>370</v>
      </c>
      <c r="Q230" s="767"/>
      <c r="R230" s="775"/>
      <c r="S230" s="775"/>
      <c r="T230" s="775"/>
      <c r="U230" s="775"/>
      <c r="V230" s="775"/>
      <c r="W230" s="775"/>
      <c r="X230" s="775"/>
      <c r="Y230" s="775"/>
      <c r="Z230" s="776"/>
    </row>
    <row r="231" spans="1:26" ht="14" x14ac:dyDescent="0.3">
      <c r="A231" s="770" t="s">
        <v>442</v>
      </c>
      <c r="B231" s="771"/>
      <c r="C231" s="771"/>
      <c r="D231" s="771"/>
      <c r="E231" s="771"/>
      <c r="F231" s="771"/>
      <c r="G231" s="771"/>
      <c r="H231" s="771"/>
      <c r="I231" s="772"/>
      <c r="J231" s="763" t="str">
        <f>'[3]DB Gas FLow Analyzer'!P34</f>
        <v>-</v>
      </c>
      <c r="K231" s="763" t="str">
        <f>'[3]DB Gas FLow Analyzer'!Q34</f>
        <v>-</v>
      </c>
      <c r="L231" s="763" t="str">
        <f>'[3]DB Gas FLow Analyzer'!R34</f>
        <v>-</v>
      </c>
      <c r="M231" s="764">
        <v>12</v>
      </c>
      <c r="O231" s="769">
        <v>12</v>
      </c>
      <c r="P231" s="766"/>
      <c r="Q231" s="767"/>
      <c r="R231" s="775"/>
      <c r="S231" s="775"/>
      <c r="T231" s="775"/>
      <c r="U231" s="775"/>
      <c r="V231" s="775"/>
      <c r="W231" s="775"/>
      <c r="X231" s="775"/>
      <c r="Y231" s="775"/>
      <c r="Z231" s="776"/>
    </row>
    <row r="232" spans="1:26" ht="14" x14ac:dyDescent="0.3">
      <c r="A232" s="770" t="s">
        <v>442</v>
      </c>
      <c r="B232" s="771"/>
      <c r="C232" s="771"/>
      <c r="D232" s="771"/>
      <c r="E232" s="771"/>
      <c r="F232" s="771"/>
      <c r="G232" s="771"/>
      <c r="H232" s="771"/>
      <c r="I232" s="772"/>
      <c r="J232" s="763" t="str">
        <f>'[3]DB Gas FLow Analyzer'!W4</f>
        <v>-</v>
      </c>
      <c r="K232" s="763" t="str">
        <f>'[3]DB Gas FLow Analyzer'!X4</f>
        <v>-</v>
      </c>
      <c r="L232" s="763" t="str">
        <f>'[3]DB Gas FLow Analyzer'!Y4</f>
        <v>-</v>
      </c>
      <c r="M232" s="764">
        <v>13</v>
      </c>
      <c r="O232" s="769">
        <v>13</v>
      </c>
      <c r="P232" s="766"/>
      <c r="Q232" s="767"/>
      <c r="R232" s="775"/>
      <c r="S232" s="775"/>
      <c r="T232" s="775"/>
      <c r="U232" s="775"/>
      <c r="V232" s="775"/>
      <c r="W232" s="775"/>
      <c r="X232" s="775"/>
      <c r="Y232" s="775"/>
      <c r="Z232" s="776"/>
    </row>
    <row r="233" spans="1:26" ht="14" x14ac:dyDescent="0.3">
      <c r="A233" s="770" t="s">
        <v>442</v>
      </c>
      <c r="B233" s="771"/>
      <c r="C233" s="771"/>
      <c r="D233" s="771"/>
      <c r="E233" s="771"/>
      <c r="F233" s="771"/>
      <c r="G233" s="771"/>
      <c r="H233" s="771"/>
      <c r="I233" s="772"/>
      <c r="J233" s="763" t="str">
        <f>'[3]DB Gas FLow Analyzer'!W14</f>
        <v>-</v>
      </c>
      <c r="K233" s="763" t="str">
        <f>'[3]DB Gas FLow Analyzer'!X14</f>
        <v>-</v>
      </c>
      <c r="L233" s="763" t="str">
        <f>'[3]DB Gas FLow Analyzer'!Y14</f>
        <v>-</v>
      </c>
      <c r="M233" s="764">
        <v>14</v>
      </c>
      <c r="O233" s="769">
        <v>14</v>
      </c>
      <c r="P233" s="766"/>
      <c r="Q233" s="767"/>
      <c r="R233" s="775"/>
      <c r="S233" s="775"/>
      <c r="T233" s="775"/>
      <c r="U233" s="775"/>
      <c r="V233" s="775"/>
      <c r="W233" s="775"/>
      <c r="X233" s="775"/>
      <c r="Y233" s="775"/>
      <c r="Z233" s="776"/>
    </row>
    <row r="234" spans="1:26" ht="14" x14ac:dyDescent="0.3">
      <c r="A234" s="770" t="s">
        <v>442</v>
      </c>
      <c r="B234" s="771"/>
      <c r="C234" s="771"/>
      <c r="D234" s="771"/>
      <c r="E234" s="771"/>
      <c r="F234" s="771"/>
      <c r="G234" s="771"/>
      <c r="H234" s="771"/>
      <c r="I234" s="772"/>
      <c r="J234" s="763" t="str">
        <f>'[3]DB Gas FLow Analyzer'!W24</f>
        <v>-</v>
      </c>
      <c r="K234" s="763" t="str">
        <f>'[3]DB Gas FLow Analyzer'!X24</f>
        <v>-</v>
      </c>
      <c r="L234" s="763" t="str">
        <f>'[3]DB Gas FLow Analyzer'!Y24</f>
        <v>-</v>
      </c>
      <c r="M234" s="764">
        <v>15</v>
      </c>
      <c r="O234" s="769">
        <v>15</v>
      </c>
      <c r="P234" s="766"/>
      <c r="Q234" s="767"/>
      <c r="R234" s="775"/>
      <c r="S234" s="775"/>
      <c r="T234" s="775"/>
      <c r="U234" s="775"/>
      <c r="V234" s="775"/>
      <c r="W234" s="775"/>
      <c r="X234" s="775"/>
      <c r="Y234" s="775"/>
      <c r="Z234" s="776"/>
    </row>
    <row r="235" spans="1:26" ht="14" x14ac:dyDescent="0.3">
      <c r="A235" s="770" t="s">
        <v>442</v>
      </c>
      <c r="B235" s="771"/>
      <c r="C235" s="771"/>
      <c r="D235" s="771"/>
      <c r="E235" s="771"/>
      <c r="F235" s="771"/>
      <c r="G235" s="771"/>
      <c r="H235" s="771"/>
      <c r="I235" s="772"/>
      <c r="J235" s="763" t="str">
        <f>'[3]DB Gas FLow Analyzer'!W34</f>
        <v>-</v>
      </c>
      <c r="K235" s="763" t="str">
        <f>'[3]DB Gas FLow Analyzer'!X34</f>
        <v>-</v>
      </c>
      <c r="L235" s="763" t="str">
        <f>'[3]DB Gas FLow Analyzer'!Y34</f>
        <v>-</v>
      </c>
      <c r="M235" s="773">
        <v>16</v>
      </c>
      <c r="O235" s="774">
        <v>16</v>
      </c>
      <c r="P235" s="766"/>
      <c r="Q235" s="767"/>
      <c r="R235" s="775"/>
      <c r="S235" s="775"/>
      <c r="T235" s="775"/>
      <c r="U235" s="775"/>
      <c r="V235" s="775"/>
      <c r="W235" s="775"/>
      <c r="X235" s="775"/>
      <c r="Y235" s="775"/>
      <c r="Z235" s="776"/>
    </row>
    <row r="236" spans="1:26" ht="14" thickBot="1" x14ac:dyDescent="0.35">
      <c r="A236" s="1106">
        <f>VLOOKUP(A219,A220:M235,13,(FALSE))</f>
        <v>6</v>
      </c>
      <c r="B236" s="1107"/>
      <c r="C236" s="1107"/>
      <c r="D236" s="1107"/>
      <c r="E236" s="1107"/>
      <c r="F236" s="1107"/>
      <c r="G236" s="1107"/>
      <c r="H236" s="1107"/>
      <c r="I236" s="1107"/>
      <c r="J236" s="1108"/>
      <c r="K236" s="1108"/>
      <c r="L236" s="1108"/>
      <c r="M236" s="1109"/>
      <c r="O236" s="777" t="str">
        <f>VLOOKUP(O219,O220:Z235,2,FALSE)</f>
        <v>Hasil kalibrasi flow tertelusur ke Satuan Internasional ( SI ) melalui Fluke Biomedical</v>
      </c>
      <c r="P236" s="778"/>
      <c r="Q236" s="778"/>
      <c r="R236" s="778"/>
      <c r="S236" s="778"/>
      <c r="T236" s="778"/>
      <c r="U236" s="778"/>
      <c r="V236" s="778"/>
      <c r="W236" s="778"/>
      <c r="X236" s="778"/>
      <c r="Y236" s="778"/>
      <c r="Z236" s="779"/>
    </row>
    <row r="237" spans="1:26" ht="13.5" thickBot="1" x14ac:dyDescent="0.35">
      <c r="A237" s="48"/>
      <c r="B237" s="48"/>
      <c r="C237" s="48"/>
      <c r="D237" s="48"/>
      <c r="E237" s="48"/>
      <c r="F237" s="48"/>
      <c r="G237" s="48"/>
      <c r="H237" s="48"/>
      <c r="I237" s="48"/>
      <c r="J237" s="48"/>
      <c r="K237" s="48"/>
      <c r="L237" s="48"/>
      <c r="M237" s="48"/>
      <c r="O237" s="780"/>
      <c r="P237" s="780"/>
      <c r="Q237" s="780"/>
      <c r="R237" s="780"/>
      <c r="S237" s="780"/>
      <c r="T237" s="780"/>
      <c r="U237" s="780"/>
      <c r="V237" s="780"/>
      <c r="W237" s="780"/>
      <c r="X237" s="780"/>
      <c r="Y237" s="780"/>
      <c r="Z237" s="780"/>
    </row>
    <row r="238" spans="1:26" x14ac:dyDescent="0.3">
      <c r="A238" s="533">
        <f>IF([3]PENYELIA!K50&gt;=70,1,IF([3]PENYELIA!K50&lt;70,2))</f>
        <v>1</v>
      </c>
      <c r="B238" s="781"/>
      <c r="C238" s="781"/>
      <c r="D238" s="781"/>
      <c r="E238" s="781"/>
      <c r="F238" s="782"/>
      <c r="G238" s="48"/>
      <c r="H238" s="48"/>
      <c r="I238" s="48"/>
      <c r="J238" s="48"/>
      <c r="K238" s="48"/>
      <c r="L238" s="48"/>
      <c r="M238" s="48"/>
      <c r="O238" s="780"/>
      <c r="P238" s="780"/>
      <c r="Q238" s="780"/>
      <c r="R238" s="780"/>
      <c r="S238" s="780"/>
      <c r="T238" s="780"/>
      <c r="U238" s="780"/>
      <c r="V238" s="780"/>
      <c r="W238" s="780"/>
      <c r="X238" s="780"/>
      <c r="Y238" s="780"/>
      <c r="Z238" s="780"/>
    </row>
    <row r="239" spans="1:26" x14ac:dyDescent="0.3">
      <c r="A239" s="753"/>
      <c r="F239" s="754"/>
      <c r="K239" s="48"/>
      <c r="L239" s="48"/>
      <c r="M239" s="48"/>
      <c r="O239" s="780"/>
      <c r="P239" s="780"/>
      <c r="Q239" s="780"/>
      <c r="R239" s="780"/>
      <c r="S239" s="780"/>
      <c r="T239" s="780"/>
      <c r="U239" s="780"/>
      <c r="V239" s="780"/>
      <c r="W239" s="780"/>
      <c r="X239" s="780"/>
      <c r="Y239" s="780"/>
      <c r="Z239" s="780"/>
    </row>
    <row r="240" spans="1:26" x14ac:dyDescent="0.3">
      <c r="A240" s="1110">
        <f>A238</f>
        <v>1</v>
      </c>
      <c r="B240" s="1111"/>
      <c r="C240" s="1111"/>
      <c r="D240" s="1111"/>
      <c r="E240" s="1111"/>
      <c r="F240" s="1112"/>
      <c r="G240" s="780"/>
      <c r="H240" s="780"/>
      <c r="I240" s="780"/>
      <c r="J240" s="780"/>
      <c r="K240" s="48"/>
      <c r="L240" s="48"/>
      <c r="M240" s="48"/>
      <c r="O240" s="780"/>
      <c r="P240" s="780"/>
      <c r="Q240" s="780"/>
      <c r="R240" s="780"/>
      <c r="S240" s="780"/>
      <c r="T240" s="780"/>
      <c r="U240" s="780"/>
      <c r="V240" s="780"/>
      <c r="W240" s="780"/>
      <c r="X240" s="780"/>
      <c r="Y240" s="780"/>
      <c r="Z240" s="780"/>
    </row>
    <row r="241" spans="1:26" x14ac:dyDescent="0.3">
      <c r="A241" s="769">
        <v>1</v>
      </c>
      <c r="B241" s="766" t="s">
        <v>444</v>
      </c>
      <c r="C241" s="767"/>
      <c r="D241" s="783"/>
      <c r="E241" s="784"/>
      <c r="F241" s="785">
        <v>1</v>
      </c>
      <c r="G241" s="780"/>
      <c r="H241" s="780"/>
      <c r="I241" s="780"/>
      <c r="J241" s="780"/>
      <c r="K241" s="48"/>
      <c r="L241" s="48"/>
      <c r="M241" s="48"/>
      <c r="O241" s="780"/>
      <c r="P241" s="780"/>
      <c r="Q241" s="780"/>
      <c r="R241" s="780"/>
      <c r="S241" s="780"/>
      <c r="T241" s="780"/>
      <c r="U241" s="780"/>
      <c r="V241" s="780"/>
      <c r="W241" s="780"/>
      <c r="X241" s="780"/>
      <c r="Y241" s="780"/>
      <c r="Z241" s="780"/>
    </row>
    <row r="242" spans="1:26" x14ac:dyDescent="0.3">
      <c r="A242" s="769">
        <v>2</v>
      </c>
      <c r="B242" s="766" t="s">
        <v>445</v>
      </c>
      <c r="C242" s="767"/>
      <c r="D242" s="783"/>
      <c r="E242" s="784"/>
      <c r="F242" s="785">
        <v>2</v>
      </c>
      <c r="G242" s="780"/>
      <c r="H242" s="780"/>
      <c r="I242" s="780"/>
      <c r="J242" s="780"/>
      <c r="K242" s="48"/>
      <c r="L242" s="48"/>
      <c r="M242" s="48"/>
      <c r="O242" s="780"/>
      <c r="P242" s="780"/>
      <c r="Q242" s="780"/>
      <c r="R242" s="780"/>
      <c r="S242" s="780"/>
      <c r="T242" s="780"/>
      <c r="U242" s="780"/>
      <c r="V242" s="780"/>
      <c r="W242" s="780"/>
      <c r="X242" s="780"/>
      <c r="Y242" s="780"/>
      <c r="Z242" s="780"/>
    </row>
    <row r="243" spans="1:26" ht="13.5" thickBot="1" x14ac:dyDescent="0.35">
      <c r="A243" s="1086" t="str">
        <f>VLOOKUP(A240,A241:F242,2,FALSE)</f>
        <v>Nomor Sertifikat : 76 /</v>
      </c>
      <c r="B243" s="1087"/>
      <c r="C243" s="1087"/>
      <c r="D243" s="1087"/>
      <c r="E243" s="1087"/>
      <c r="F243" s="1088"/>
      <c r="G243" s="786"/>
      <c r="H243" s="786"/>
      <c r="I243" s="786"/>
      <c r="J243" s="786"/>
      <c r="K243" s="48"/>
      <c r="L243" s="48"/>
      <c r="M243" s="48"/>
      <c r="O243" s="780"/>
      <c r="P243" s="780"/>
      <c r="Q243" s="780"/>
      <c r="R243" s="780"/>
      <c r="S243" s="780"/>
      <c r="T243" s="780"/>
      <c r="U243" s="780"/>
      <c r="V243" s="780"/>
      <c r="W243" s="780"/>
      <c r="X243" s="780"/>
      <c r="Y243" s="780"/>
      <c r="Z243" s="780"/>
    </row>
    <row r="244" spans="1:26" ht="13.5" thickBot="1" x14ac:dyDescent="0.35">
      <c r="A244" s="1086">
        <f>VLOOKUP(A240,A241:F242,6,FALSE)</f>
        <v>1</v>
      </c>
      <c r="B244" s="1087"/>
      <c r="C244" s="1087"/>
      <c r="D244" s="1087"/>
      <c r="E244" s="1087"/>
      <c r="F244" s="1088"/>
      <c r="G244" s="786"/>
      <c r="H244" s="786"/>
      <c r="I244" s="786"/>
      <c r="J244" s="786"/>
      <c r="K244" s="48"/>
      <c r="L244" s="48"/>
      <c r="M244" s="48"/>
      <c r="O244" s="780"/>
      <c r="P244" s="780"/>
      <c r="Q244" s="780"/>
      <c r="R244" s="780"/>
      <c r="S244" s="780"/>
      <c r="T244" s="780"/>
      <c r="U244" s="780"/>
      <c r="V244" s="780"/>
      <c r="W244" s="780"/>
      <c r="X244" s="780"/>
      <c r="Y244" s="780"/>
      <c r="Z244" s="780"/>
    </row>
    <row r="245" spans="1:26" ht="13.5" thickBot="1" x14ac:dyDescent="0.35">
      <c r="A245" s="780"/>
      <c r="B245" s="787"/>
      <c r="C245" s="787"/>
      <c r="D245" s="787"/>
      <c r="E245" s="780"/>
      <c r="F245" s="780"/>
      <c r="G245" s="780"/>
      <c r="H245" s="780"/>
      <c r="I245" s="780"/>
      <c r="J245" s="780"/>
      <c r="K245" s="48"/>
      <c r="L245" s="48"/>
      <c r="M245" s="48"/>
      <c r="O245" s="780"/>
      <c r="P245" s="780"/>
      <c r="Q245" s="780"/>
      <c r="R245" s="780"/>
      <c r="S245" s="780"/>
      <c r="T245" s="780"/>
      <c r="U245" s="780"/>
      <c r="V245" s="780"/>
      <c r="W245" s="780"/>
      <c r="X245" s="780"/>
      <c r="Y245" s="780"/>
      <c r="Z245" s="780"/>
    </row>
    <row r="246" spans="1:26" ht="13.5" thickBot="1" x14ac:dyDescent="0.35">
      <c r="A246" s="1089">
        <f>A244</f>
        <v>1</v>
      </c>
      <c r="B246" s="1090"/>
      <c r="C246" s="1090"/>
      <c r="D246" s="1090"/>
      <c r="E246" s="1090"/>
      <c r="F246" s="1090"/>
      <c r="G246" s="1090"/>
      <c r="H246" s="1090"/>
      <c r="I246" s="1090"/>
      <c r="J246" s="1090"/>
      <c r="K246" s="1090"/>
      <c r="L246" s="1090"/>
      <c r="M246" s="1090"/>
      <c r="N246" s="1090"/>
      <c r="O246" s="1090"/>
      <c r="P246" s="1090"/>
      <c r="Q246" s="1090"/>
      <c r="R246" s="1091"/>
      <c r="S246" s="780"/>
      <c r="T246" s="780"/>
      <c r="U246" s="780"/>
      <c r="V246" s="780"/>
      <c r="W246" s="780"/>
      <c r="X246" s="780"/>
      <c r="Y246" s="780"/>
      <c r="Z246" s="780"/>
    </row>
    <row r="247" spans="1:26" x14ac:dyDescent="0.3">
      <c r="A247" s="765">
        <v>1</v>
      </c>
      <c r="B247" s="788" t="s">
        <v>373</v>
      </c>
      <c r="C247" s="788"/>
      <c r="D247" s="789"/>
      <c r="E247" s="790"/>
      <c r="F247" s="790"/>
      <c r="G247" s="790"/>
      <c r="H247" s="790"/>
      <c r="I247" s="790"/>
      <c r="J247" s="790"/>
      <c r="K247" s="791"/>
      <c r="L247" s="791"/>
      <c r="M247" s="791"/>
      <c r="N247" s="792"/>
      <c r="O247" s="790"/>
      <c r="P247" s="790"/>
      <c r="Q247" s="790"/>
      <c r="R247" s="793"/>
      <c r="S247" s="780"/>
      <c r="T247" s="780"/>
      <c r="U247" s="780"/>
      <c r="V247" s="780"/>
      <c r="W247" s="780"/>
      <c r="X247" s="780"/>
      <c r="Y247" s="780"/>
      <c r="Z247" s="780"/>
    </row>
    <row r="248" spans="1:26" x14ac:dyDescent="0.3">
      <c r="A248" s="769">
        <v>2</v>
      </c>
      <c r="B248" s="794" t="s">
        <v>374</v>
      </c>
      <c r="C248" s="794"/>
      <c r="D248" s="795"/>
      <c r="E248" s="796"/>
      <c r="F248" s="796"/>
      <c r="G248" s="796"/>
      <c r="H248" s="796"/>
      <c r="I248" s="796"/>
      <c r="J248" s="796"/>
      <c r="K248" s="797"/>
      <c r="L248" s="797"/>
      <c r="M248" s="797"/>
      <c r="N248" s="798"/>
      <c r="O248" s="796"/>
      <c r="P248" s="796"/>
      <c r="Q248" s="766"/>
      <c r="R248" s="768"/>
      <c r="S248" s="780"/>
      <c r="T248" s="780"/>
      <c r="U248" s="780"/>
      <c r="V248" s="780"/>
      <c r="W248" s="780"/>
      <c r="X248" s="780"/>
      <c r="Y248" s="780"/>
      <c r="Z248" s="780"/>
    </row>
    <row r="249" spans="1:26" ht="13.5" thickBot="1" x14ac:dyDescent="0.35">
      <c r="A249" s="799" t="str">
        <f>VLOOKUP(A246,A247:H248,2,FALSE)</f>
        <v>Alat yang dikalibrasi dalam batas toleransi dan dinyatakan LAIK PAKAI, dimana hasil atau skor akhir sama dengan atau melampaui 70% berdasarkan Keputusan Direktur Jenderal Pelayanan Kesehatan No : HK.02.02/V/0412/2020.</v>
      </c>
      <c r="B249" s="800"/>
      <c r="C249" s="800"/>
      <c r="D249" s="800"/>
      <c r="E249" s="800"/>
      <c r="F249" s="800"/>
      <c r="G249" s="800"/>
      <c r="H249" s="800"/>
      <c r="I249" s="800"/>
      <c r="J249" s="800"/>
      <c r="K249" s="800"/>
      <c r="L249" s="800"/>
      <c r="M249" s="800"/>
      <c r="N249" s="800"/>
      <c r="O249" s="800"/>
      <c r="P249" s="800"/>
      <c r="Q249" s="800"/>
      <c r="R249" s="801"/>
      <c r="S249" s="780"/>
      <c r="T249" s="780"/>
      <c r="U249" s="780"/>
      <c r="V249" s="780"/>
      <c r="W249" s="780"/>
      <c r="X249" s="780"/>
      <c r="Y249" s="780"/>
      <c r="Z249" s="780"/>
    </row>
    <row r="251" spans="1:26" x14ac:dyDescent="0.3">
      <c r="K251" s="780"/>
      <c r="L251" s="780"/>
      <c r="M251" s="780"/>
    </row>
    <row r="252" spans="1:26" x14ac:dyDescent="0.3">
      <c r="K252" s="780"/>
      <c r="L252" s="780"/>
    </row>
    <row r="253" spans="1:26" x14ac:dyDescent="0.3">
      <c r="K253" s="780"/>
      <c r="L253" s="780"/>
    </row>
    <row r="254" spans="1:26" x14ac:dyDescent="0.3">
      <c r="K254" s="786"/>
      <c r="L254" s="786"/>
      <c r="M254" s="780"/>
    </row>
    <row r="255" spans="1:26" x14ac:dyDescent="0.3">
      <c r="K255" s="786"/>
      <c r="L255" s="786"/>
      <c r="M255" s="780"/>
    </row>
    <row r="256" spans="1:26" x14ac:dyDescent="0.3">
      <c r="K256" s="780"/>
      <c r="L256" s="780"/>
      <c r="M256" s="780"/>
    </row>
    <row r="257" spans="11:18" x14ac:dyDescent="0.3">
      <c r="K257" s="802"/>
      <c r="L257" s="780"/>
      <c r="M257" s="780"/>
      <c r="R257" s="803"/>
    </row>
    <row r="258" spans="11:18" x14ac:dyDescent="0.3">
      <c r="K258" s="780"/>
      <c r="L258" s="780"/>
      <c r="M258" s="780"/>
      <c r="R258" s="803"/>
    </row>
    <row r="259" spans="11:18" x14ac:dyDescent="0.3">
      <c r="K259" s="780"/>
      <c r="L259" s="780"/>
      <c r="M259" s="780"/>
    </row>
    <row r="260" spans="11:18" x14ac:dyDescent="0.3">
      <c r="K260" s="786"/>
      <c r="L260" s="780"/>
      <c r="M260" s="780"/>
    </row>
  </sheetData>
  <mergeCells count="102">
    <mergeCell ref="A12:D12"/>
    <mergeCell ref="F12:F14"/>
    <mergeCell ref="H12:K12"/>
    <mergeCell ref="L12:L14"/>
    <mergeCell ref="M12:M14"/>
    <mergeCell ref="E12:E14"/>
    <mergeCell ref="O12:R12"/>
    <mergeCell ref="S22:S24"/>
    <mergeCell ref="T22:T24"/>
    <mergeCell ref="B23:D23"/>
    <mergeCell ref="I23:K23"/>
    <mergeCell ref="P23:R23"/>
    <mergeCell ref="A22:D22"/>
    <mergeCell ref="E22:E24"/>
    <mergeCell ref="F22:F24"/>
    <mergeCell ref="H22:K22"/>
    <mergeCell ref="L22:L24"/>
    <mergeCell ref="M22:M24"/>
    <mergeCell ref="O22:R22"/>
    <mergeCell ref="A43:A45"/>
    <mergeCell ref="B43:B45"/>
    <mergeCell ref="L32:L34"/>
    <mergeCell ref="M32:M34"/>
    <mergeCell ref="A32:D32"/>
    <mergeCell ref="E32:E34"/>
    <mergeCell ref="B33:D33"/>
    <mergeCell ref="A1:T1"/>
    <mergeCell ref="A2:D2"/>
    <mergeCell ref="F2:F4"/>
    <mergeCell ref="H2:K2"/>
    <mergeCell ref="L2:L4"/>
    <mergeCell ref="M2:M4"/>
    <mergeCell ref="O2:R2"/>
    <mergeCell ref="S2:S4"/>
    <mergeCell ref="T2:T4"/>
    <mergeCell ref="B3:D3"/>
    <mergeCell ref="I3:K3"/>
    <mergeCell ref="P3:R3"/>
    <mergeCell ref="E2:E4"/>
    <mergeCell ref="S12:S14"/>
    <mergeCell ref="T12:T14"/>
    <mergeCell ref="B13:D13"/>
    <mergeCell ref="I13:K13"/>
    <mergeCell ref="V2:Y2"/>
    <mergeCell ref="Z2:Z4"/>
    <mergeCell ref="AA2:AA4"/>
    <mergeCell ref="W3:Y3"/>
    <mergeCell ref="V12:Y12"/>
    <mergeCell ref="Z12:Z14"/>
    <mergeCell ref="AA12:AA14"/>
    <mergeCell ref="W13:Y13"/>
    <mergeCell ref="F32:F34"/>
    <mergeCell ref="I33:K33"/>
    <mergeCell ref="H32:K32"/>
    <mergeCell ref="P13:R13"/>
    <mergeCell ref="C43:C44"/>
    <mergeCell ref="D43:F44"/>
    <mergeCell ref="G43:G45"/>
    <mergeCell ref="H43:H45"/>
    <mergeCell ref="B154:F154"/>
    <mergeCell ref="V22:Y22"/>
    <mergeCell ref="Z22:Z24"/>
    <mergeCell ref="AA22:AA24"/>
    <mergeCell ref="W23:Y23"/>
    <mergeCell ref="O32:R32"/>
    <mergeCell ref="S32:S34"/>
    <mergeCell ref="T32:T34"/>
    <mergeCell ref="V32:Y32"/>
    <mergeCell ref="Z32:Z34"/>
    <mergeCell ref="AA32:AA34"/>
    <mergeCell ref="P33:R33"/>
    <mergeCell ref="W33:Y33"/>
    <mergeCell ref="I154:L154"/>
    <mergeCell ref="B155:D155"/>
    <mergeCell ref="E155:E156"/>
    <mergeCell ref="F155:F156"/>
    <mergeCell ref="A164:A165"/>
    <mergeCell ref="B164:B165"/>
    <mergeCell ref="C164:C165"/>
    <mergeCell ref="D164:D165"/>
    <mergeCell ref="E164:E165"/>
    <mergeCell ref="F164:F165"/>
    <mergeCell ref="A244:F244"/>
    <mergeCell ref="A246:R246"/>
    <mergeCell ref="N166:N170"/>
    <mergeCell ref="N164:N165"/>
    <mergeCell ref="L166:L170"/>
    <mergeCell ref="A219:M219"/>
    <mergeCell ref="O219:Z219"/>
    <mergeCell ref="A236:M236"/>
    <mergeCell ref="A240:F240"/>
    <mergeCell ref="A243:F243"/>
    <mergeCell ref="G164:G165"/>
    <mergeCell ref="H164:H165"/>
    <mergeCell ref="I164:I165"/>
    <mergeCell ref="J164:J165"/>
    <mergeCell ref="K164:K165"/>
    <mergeCell ref="L164:L165"/>
    <mergeCell ref="M164:M165"/>
    <mergeCell ref="O174:P174"/>
    <mergeCell ref="O175:P175"/>
    <mergeCell ref="O176:P176"/>
  </mergeCells>
  <phoneticPr fontId="3" type="noConversion"/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0000"/>
  </sheetPr>
  <dimension ref="A1:K13"/>
  <sheetViews>
    <sheetView workbookViewId="0">
      <selection activeCell="C4" sqref="C4"/>
    </sheetView>
  </sheetViews>
  <sheetFormatPr defaultRowHeight="12.5" x14ac:dyDescent="0.25"/>
  <sheetData>
    <row r="1" spans="1:11" ht="13" thickBot="1" x14ac:dyDescent="0.3"/>
    <row r="2" spans="1:11" x14ac:dyDescent="0.25">
      <c r="A2" s="1160" t="s">
        <v>109</v>
      </c>
      <c r="B2" s="1162" t="s">
        <v>200</v>
      </c>
      <c r="C2" s="1162" t="s">
        <v>202</v>
      </c>
      <c r="D2" s="1162" t="s">
        <v>283</v>
      </c>
      <c r="E2" s="1162" t="s">
        <v>284</v>
      </c>
      <c r="F2" s="1164" t="s">
        <v>154</v>
      </c>
      <c r="G2" s="1155" t="s">
        <v>288</v>
      </c>
      <c r="H2" s="1165" t="s">
        <v>289</v>
      </c>
      <c r="I2" s="1152"/>
      <c r="J2" s="1153"/>
      <c r="K2" s="1154"/>
    </row>
    <row r="3" spans="1:11" x14ac:dyDescent="0.25">
      <c r="A3" s="1161"/>
      <c r="B3" s="1163"/>
      <c r="C3" s="1163"/>
      <c r="D3" s="1163"/>
      <c r="E3" s="1163"/>
      <c r="F3" s="1143"/>
      <c r="G3" s="1156"/>
      <c r="H3" s="1166"/>
      <c r="I3" s="1152"/>
      <c r="J3" s="1153"/>
      <c r="K3" s="1154"/>
    </row>
    <row r="4" spans="1:11" ht="13" x14ac:dyDescent="0.25">
      <c r="A4" s="827">
        <f>ID!D33</f>
        <v>21</v>
      </c>
      <c r="B4" s="828">
        <f>AVERAGE(ID!F33:J33)</f>
        <v>21.3</v>
      </c>
      <c r="C4" s="56">
        <f>IFERROR(STDEV(ID!F33:J33),0)</f>
        <v>0</v>
      </c>
      <c r="D4" s="206">
        <f>A4-B4</f>
        <v>-0.30000000000000071</v>
      </c>
      <c r="E4" s="206">
        <f>(D4/A4)*100</f>
        <v>-1.4285714285714319</v>
      </c>
      <c r="F4" s="207">
        <f>B4-A4</f>
        <v>0.30000000000000071</v>
      </c>
      <c r="G4" s="208">
        <f>1/10*5</f>
        <v>0.5</v>
      </c>
      <c r="H4" s="308">
        <f>0.5*0.1</f>
        <v>0.05</v>
      </c>
      <c r="I4" s="209"/>
      <c r="J4" s="57"/>
      <c r="K4" s="57"/>
    </row>
    <row r="5" spans="1:11" ht="13.5" thickBot="1" x14ac:dyDescent="0.3">
      <c r="A5" s="829">
        <f>ID!D34</f>
        <v>60</v>
      </c>
      <c r="B5" s="830">
        <f>AVERAGE(ID!F34:J34)</f>
        <v>60.2</v>
      </c>
      <c r="C5" s="309">
        <f>STDEV(ID!F34:J34)</f>
        <v>0</v>
      </c>
      <c r="D5" s="310">
        <f>A5-B5</f>
        <v>-0.20000000000000284</v>
      </c>
      <c r="E5" s="310">
        <f>(D5/A5)*100</f>
        <v>-0.33333333333333809</v>
      </c>
      <c r="F5" s="311">
        <f>B5-A5</f>
        <v>0.20000000000000284</v>
      </c>
      <c r="G5" s="312"/>
      <c r="H5" s="313"/>
      <c r="I5" s="209"/>
      <c r="J5" s="57"/>
      <c r="K5" s="57"/>
    </row>
    <row r="6" spans="1:11" ht="13" thickBot="1" x14ac:dyDescent="0.3"/>
    <row r="7" spans="1:11" x14ac:dyDescent="0.25">
      <c r="A7" s="41" t="str">
        <f>ID!B56</f>
        <v>Oxygen Analyzer, Merek : Maxtec, Model : Max O2, SN : FJ32099002</v>
      </c>
      <c r="B7" s="42"/>
      <c r="C7" s="42"/>
      <c r="D7" s="42"/>
      <c r="E7" s="42"/>
      <c r="F7" s="42"/>
      <c r="G7" s="42"/>
      <c r="H7" s="42"/>
      <c r="I7" s="42"/>
      <c r="J7" s="42"/>
      <c r="K7" s="43"/>
    </row>
    <row r="8" spans="1:11" ht="14" x14ac:dyDescent="0.3">
      <c r="A8" s="44" t="s">
        <v>318</v>
      </c>
      <c r="B8" s="45"/>
      <c r="C8" s="45"/>
      <c r="D8" s="45"/>
      <c r="E8" s="45"/>
      <c r="F8" s="45"/>
      <c r="G8" s="46"/>
      <c r="H8" s="46"/>
      <c r="I8" s="46"/>
      <c r="J8" s="46"/>
      <c r="K8" s="47">
        <v>1</v>
      </c>
    </row>
    <row r="9" spans="1:11" ht="14" x14ac:dyDescent="0.3">
      <c r="A9" s="44" t="s">
        <v>114</v>
      </c>
      <c r="B9" s="45"/>
      <c r="C9" s="45"/>
      <c r="D9" s="45"/>
      <c r="E9" s="45"/>
      <c r="F9" s="45"/>
      <c r="G9" s="46"/>
      <c r="H9" s="46"/>
      <c r="I9" s="46"/>
      <c r="J9" s="46"/>
      <c r="K9" s="47">
        <v>2</v>
      </c>
    </row>
    <row r="10" spans="1:11" ht="14" x14ac:dyDescent="0.3">
      <c r="A10" s="44" t="s">
        <v>319</v>
      </c>
      <c r="B10" s="344"/>
      <c r="C10" s="344"/>
      <c r="D10" s="344"/>
      <c r="E10" s="344"/>
      <c r="F10" s="344"/>
      <c r="G10" s="345"/>
      <c r="H10" s="345"/>
      <c r="I10" s="345"/>
      <c r="J10" s="345"/>
      <c r="K10" s="346">
        <v>3</v>
      </c>
    </row>
    <row r="11" spans="1:11" ht="14" x14ac:dyDescent="0.3">
      <c r="A11" s="44" t="s">
        <v>320</v>
      </c>
      <c r="B11" s="344"/>
      <c r="C11" s="344"/>
      <c r="D11" s="344"/>
      <c r="E11" s="344"/>
      <c r="F11" s="344"/>
      <c r="G11" s="345"/>
      <c r="H11" s="345"/>
      <c r="I11" s="345"/>
      <c r="J11" s="345"/>
      <c r="K11" s="47">
        <v>4</v>
      </c>
    </row>
    <row r="12" spans="1:11" ht="14" x14ac:dyDescent="0.3">
      <c r="A12" s="44" t="s">
        <v>321</v>
      </c>
      <c r="B12" s="344"/>
      <c r="C12" s="344"/>
      <c r="D12" s="344"/>
      <c r="E12" s="344"/>
      <c r="F12" s="344"/>
      <c r="G12" s="345"/>
      <c r="H12" s="345"/>
      <c r="I12" s="345"/>
      <c r="J12" s="345"/>
      <c r="K12" s="346">
        <v>5</v>
      </c>
    </row>
    <row r="13" spans="1:11" ht="13" thickBot="1" x14ac:dyDescent="0.3">
      <c r="A13" s="1157">
        <f>VLOOKUP(A7,A8:K12,11,(FALSE))</f>
        <v>3</v>
      </c>
      <c r="B13" s="1158"/>
      <c r="C13" s="1158"/>
      <c r="D13" s="1158"/>
      <c r="E13" s="1158"/>
      <c r="F13" s="1158"/>
      <c r="G13" s="1158"/>
      <c r="H13" s="1158"/>
      <c r="I13" s="1158"/>
      <c r="J13" s="1158"/>
      <c r="K13" s="1159"/>
    </row>
  </sheetData>
  <mergeCells count="12">
    <mergeCell ref="I2:I3"/>
    <mergeCell ref="J2:J3"/>
    <mergeCell ref="K2:K3"/>
    <mergeCell ref="G2:G3"/>
    <mergeCell ref="A13:K13"/>
    <mergeCell ref="A2:A3"/>
    <mergeCell ref="B2:B3"/>
    <mergeCell ref="C2:C3"/>
    <mergeCell ref="D2:D3"/>
    <mergeCell ref="E2:E3"/>
    <mergeCell ref="F2:F3"/>
    <mergeCell ref="H2:H3"/>
  </mergeCells>
  <phoneticPr fontId="3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7"/>
  <sheetViews>
    <sheetView workbookViewId="0">
      <selection activeCell="B8" sqref="B8"/>
    </sheetView>
  </sheetViews>
  <sheetFormatPr defaultRowHeight="12.5" x14ac:dyDescent="0.25"/>
  <cols>
    <col min="1" max="1" width="14.1796875" customWidth="1"/>
    <col min="3" max="3" width="15.81640625" customWidth="1"/>
    <col min="5" max="5" width="12.26953125" customWidth="1"/>
  </cols>
  <sheetData>
    <row r="1" spans="1:5" ht="15.5" x14ac:dyDescent="0.25">
      <c r="A1" s="244" t="s">
        <v>31</v>
      </c>
      <c r="B1" s="245" t="s">
        <v>322</v>
      </c>
      <c r="C1" s="1167" t="s">
        <v>153</v>
      </c>
      <c r="D1" s="1167"/>
      <c r="E1" s="244" t="s">
        <v>323</v>
      </c>
    </row>
    <row r="2" spans="1:5" ht="28" x14ac:dyDescent="0.25">
      <c r="A2" s="256" t="str">
        <f>PENYELIA!C33</f>
        <v>Konsentrasi Oksigen (%)</v>
      </c>
      <c r="B2" s="246">
        <f>SUM(PENYELIA!O33:O34)/25*100</f>
        <v>100</v>
      </c>
      <c r="C2" s="258">
        <f>B2/100*25</f>
        <v>25</v>
      </c>
      <c r="D2" s="257">
        <f>IF(C2&lt;17.5,0,IF(C2&gt;=17.5,C2))</f>
        <v>25</v>
      </c>
      <c r="E2" s="247" t="str">
        <f>IF(C2&gt;=17.5,"PASS",IF(C2&lt;17.5,"FAIL"))</f>
        <v>PASS</v>
      </c>
    </row>
    <row r="3" spans="1:5" ht="33" customHeight="1" x14ac:dyDescent="0.25">
      <c r="A3" s="256" t="str">
        <f>PENYELIA!C39</f>
        <v>Flowmeter (L/min)</v>
      </c>
      <c r="B3" s="246">
        <f>SUM(PENYELIA!O39:O43)/25*100</f>
        <v>100</v>
      </c>
      <c r="C3" s="258">
        <f>B3/100*25</f>
        <v>25</v>
      </c>
      <c r="D3" s="257">
        <f>IF(C3&lt;17.5,0,IF(C3&gt;=17.5,C3))</f>
        <v>25</v>
      </c>
      <c r="E3" s="247" t="str">
        <f>IF(C3&gt;=17.5,"PASS",IF(C3&lt;17.5,"FAIL"))</f>
        <v>PASS</v>
      </c>
    </row>
    <row r="4" spans="1:5" ht="13" thickBot="1" x14ac:dyDescent="0.3"/>
    <row r="5" spans="1:5" ht="30" customHeight="1" x14ac:dyDescent="0.25">
      <c r="A5" s="1168" t="s">
        <v>324</v>
      </c>
      <c r="B5" s="1169"/>
      <c r="C5" s="1170"/>
    </row>
    <row r="6" spans="1:5" ht="15.5" x14ac:dyDescent="0.25">
      <c r="A6" s="1171" t="s">
        <v>325</v>
      </c>
      <c r="B6" s="1172"/>
      <c r="C6" s="248" t="s">
        <v>82</v>
      </c>
    </row>
    <row r="7" spans="1:5" ht="16" thickBot="1" x14ac:dyDescent="0.3">
      <c r="A7" s="249">
        <f>D2+D3</f>
        <v>50</v>
      </c>
      <c r="B7" s="250">
        <f>IF(A7&lt;35,0,IF(A7&gt;=35,50))</f>
        <v>50</v>
      </c>
      <c r="C7" s="251" t="str">
        <f>IF(A7&gt;35,"PASS",IF(A7&lt;35,"FAIL"))</f>
        <v>PASS</v>
      </c>
    </row>
  </sheetData>
  <mergeCells count="3">
    <mergeCell ref="C1:D1"/>
    <mergeCell ref="A5:C5"/>
    <mergeCell ref="A6:B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17245-4EA1-46DA-8DC2-6CEE525E24D0}">
  <dimension ref="A2:E100"/>
  <sheetViews>
    <sheetView workbookViewId="0">
      <selection activeCell="B13" sqref="B13"/>
    </sheetView>
  </sheetViews>
  <sheetFormatPr defaultRowHeight="12.5" x14ac:dyDescent="0.25"/>
  <cols>
    <col min="2" max="2" width="44.7265625" customWidth="1"/>
    <col min="3" max="3" width="39.1796875" customWidth="1"/>
    <col min="4" max="4" width="66.54296875" customWidth="1"/>
  </cols>
  <sheetData>
    <row r="2" spans="1:5" x14ac:dyDescent="0.25">
      <c r="A2" s="858" t="s">
        <v>86</v>
      </c>
      <c r="B2" s="858" t="s">
        <v>87</v>
      </c>
      <c r="C2" s="858" t="s">
        <v>88</v>
      </c>
      <c r="D2" s="858"/>
      <c r="E2" s="859" t="s">
        <v>380</v>
      </c>
    </row>
    <row r="3" spans="1:5" x14ac:dyDescent="0.25">
      <c r="A3" s="858"/>
      <c r="B3" s="858"/>
      <c r="C3" s="326" t="s">
        <v>14</v>
      </c>
      <c r="D3" s="326" t="s">
        <v>15</v>
      </c>
      <c r="E3" s="859"/>
    </row>
    <row r="4" spans="1:5" ht="39" x14ac:dyDescent="0.25">
      <c r="A4" s="326">
        <v>1</v>
      </c>
      <c r="B4" s="347">
        <v>44223</v>
      </c>
      <c r="C4" s="349" t="s">
        <v>89</v>
      </c>
      <c r="D4" s="350" t="s">
        <v>90</v>
      </c>
      <c r="E4" s="529"/>
    </row>
    <row r="5" spans="1:5" ht="25" x14ac:dyDescent="0.25">
      <c r="A5" s="326"/>
      <c r="B5" s="348"/>
      <c r="C5" s="351" t="s">
        <v>91</v>
      </c>
      <c r="D5" s="352" t="s">
        <v>92</v>
      </c>
      <c r="E5" s="529"/>
    </row>
    <row r="6" spans="1:5" x14ac:dyDescent="0.25">
      <c r="A6" s="326">
        <v>2</v>
      </c>
      <c r="B6" s="348" t="s">
        <v>376</v>
      </c>
      <c r="C6" s="326" t="s">
        <v>377</v>
      </c>
      <c r="D6" s="326" t="s">
        <v>378</v>
      </c>
      <c r="E6" s="529" t="s">
        <v>379</v>
      </c>
    </row>
    <row r="7" spans="1:5" x14ac:dyDescent="0.25">
      <c r="A7" s="326"/>
      <c r="B7" s="348"/>
      <c r="C7" s="326"/>
      <c r="D7" s="326"/>
      <c r="E7" s="529"/>
    </row>
    <row r="8" spans="1:5" x14ac:dyDescent="0.25">
      <c r="A8" s="326"/>
      <c r="B8" s="348"/>
      <c r="C8" s="326"/>
      <c r="D8" s="326"/>
      <c r="E8" s="529"/>
    </row>
    <row r="9" spans="1:5" x14ac:dyDescent="0.25">
      <c r="A9" s="326"/>
      <c r="B9" s="348"/>
      <c r="C9" s="326"/>
      <c r="D9" s="326"/>
      <c r="E9" s="529"/>
    </row>
    <row r="10" spans="1:5" x14ac:dyDescent="0.25">
      <c r="A10" s="326"/>
      <c r="B10" s="348"/>
      <c r="C10" s="326"/>
      <c r="D10" s="326"/>
      <c r="E10" s="529"/>
    </row>
    <row r="11" spans="1:5" x14ac:dyDescent="0.25">
      <c r="A11" s="326"/>
      <c r="B11" s="348"/>
      <c r="C11" s="326"/>
      <c r="D11" s="326"/>
      <c r="E11" s="529"/>
    </row>
    <row r="12" spans="1:5" x14ac:dyDescent="0.25">
      <c r="A12" s="326"/>
      <c r="B12" s="348"/>
      <c r="C12" s="326"/>
      <c r="D12" s="326"/>
      <c r="E12" s="529"/>
    </row>
    <row r="13" spans="1:5" x14ac:dyDescent="0.25">
      <c r="A13" s="326"/>
      <c r="B13" s="348"/>
      <c r="C13" s="326"/>
      <c r="D13" s="326"/>
      <c r="E13" s="529"/>
    </row>
    <row r="14" spans="1:5" x14ac:dyDescent="0.25">
      <c r="A14" s="326"/>
      <c r="B14" s="348"/>
      <c r="C14" s="326"/>
      <c r="D14" s="326"/>
      <c r="E14" s="529"/>
    </row>
    <row r="15" spans="1:5" x14ac:dyDescent="0.25">
      <c r="A15" s="326"/>
      <c r="B15" s="348"/>
      <c r="C15" s="326"/>
      <c r="D15" s="326"/>
      <c r="E15" s="529"/>
    </row>
    <row r="16" spans="1:5" x14ac:dyDescent="0.25">
      <c r="A16" s="326"/>
      <c r="B16" s="348"/>
      <c r="C16" s="326"/>
      <c r="D16" s="326"/>
      <c r="E16" s="529"/>
    </row>
    <row r="17" spans="1:5" x14ac:dyDescent="0.25">
      <c r="A17" s="326"/>
      <c r="B17" s="348"/>
      <c r="C17" s="326"/>
      <c r="D17" s="326"/>
      <c r="E17" s="529"/>
    </row>
    <row r="18" spans="1:5" x14ac:dyDescent="0.25">
      <c r="A18" s="326"/>
      <c r="B18" s="348"/>
      <c r="C18" s="326"/>
      <c r="D18" s="326"/>
      <c r="E18" s="529"/>
    </row>
    <row r="19" spans="1:5" x14ac:dyDescent="0.25">
      <c r="A19" s="326"/>
      <c r="B19" s="348"/>
      <c r="C19" s="326"/>
      <c r="D19" s="326"/>
      <c r="E19" s="529"/>
    </row>
    <row r="20" spans="1:5" x14ac:dyDescent="0.25">
      <c r="A20" s="326"/>
      <c r="B20" s="348"/>
      <c r="C20" s="326"/>
      <c r="D20" s="326"/>
      <c r="E20" s="529"/>
    </row>
    <row r="21" spans="1:5" x14ac:dyDescent="0.25">
      <c r="A21" s="326"/>
      <c r="B21" s="348"/>
      <c r="C21" s="326"/>
      <c r="D21" s="326"/>
      <c r="E21" s="529"/>
    </row>
    <row r="22" spans="1:5" x14ac:dyDescent="0.25">
      <c r="A22" s="326"/>
      <c r="B22" s="348"/>
      <c r="C22" s="326"/>
      <c r="D22" s="326"/>
      <c r="E22" s="529"/>
    </row>
    <row r="23" spans="1:5" x14ac:dyDescent="0.25">
      <c r="A23" s="326"/>
      <c r="B23" s="348"/>
      <c r="C23" s="326"/>
      <c r="D23" s="326"/>
      <c r="E23" s="529"/>
    </row>
    <row r="24" spans="1:5" x14ac:dyDescent="0.25">
      <c r="A24" s="326"/>
      <c r="B24" s="348"/>
      <c r="C24" s="326"/>
      <c r="D24" s="326"/>
      <c r="E24" s="529"/>
    </row>
    <row r="25" spans="1:5" x14ac:dyDescent="0.25">
      <c r="A25" s="326"/>
      <c r="B25" s="348"/>
      <c r="C25" s="326"/>
      <c r="D25" s="326"/>
      <c r="E25" s="529"/>
    </row>
    <row r="26" spans="1:5" x14ac:dyDescent="0.25">
      <c r="A26" s="326"/>
      <c r="B26" s="348"/>
      <c r="C26" s="326"/>
      <c r="D26" s="326"/>
      <c r="E26" s="529"/>
    </row>
    <row r="27" spans="1:5" x14ac:dyDescent="0.25">
      <c r="A27" s="326"/>
      <c r="B27" s="348"/>
      <c r="C27" s="326"/>
      <c r="D27" s="326"/>
      <c r="E27" s="529"/>
    </row>
    <row r="28" spans="1:5" x14ac:dyDescent="0.25">
      <c r="A28" s="326"/>
      <c r="B28" s="348"/>
      <c r="C28" s="326"/>
      <c r="D28" s="326"/>
      <c r="E28" s="529"/>
    </row>
    <row r="29" spans="1:5" x14ac:dyDescent="0.25">
      <c r="A29" s="326"/>
      <c r="B29" s="348"/>
      <c r="C29" s="326"/>
      <c r="D29" s="326"/>
      <c r="E29" s="529"/>
    </row>
    <row r="30" spans="1:5" x14ac:dyDescent="0.25">
      <c r="A30" s="326"/>
      <c r="B30" s="348"/>
      <c r="C30" s="326"/>
      <c r="D30" s="326"/>
      <c r="E30" s="529"/>
    </row>
    <row r="31" spans="1:5" x14ac:dyDescent="0.25">
      <c r="A31" s="326"/>
      <c r="B31" s="348"/>
      <c r="C31" s="326"/>
      <c r="D31" s="326"/>
      <c r="E31" s="529"/>
    </row>
    <row r="100" spans="1:2" x14ac:dyDescent="0.25">
      <c r="A100" s="530" t="s">
        <v>381</v>
      </c>
      <c r="B100" s="530" t="s">
        <v>382</v>
      </c>
    </row>
  </sheetData>
  <sheetProtection algorithmName="SHA-512" hashValue="yiZ66SU467MJ8nx9A9eTyyxoow5XpnnXPNhVa+cil1alkvc6/C1A9ShrSKZ3Az+Z5IrgeqS4dr5v958/N02pmw==" saltValue="V+LJO6eiaiBJ42ZfLfsNww==" spinCount="100000" sheet="1" objects="1" scenarios="1"/>
  <mergeCells count="4">
    <mergeCell ref="A2:A3"/>
    <mergeCell ref="B2:B3"/>
    <mergeCell ref="C2:D2"/>
    <mergeCell ref="E2:E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K102"/>
  <sheetViews>
    <sheetView view="pageBreakPreview" topLeftCell="A88" zoomScaleNormal="100" zoomScaleSheetLayoutView="100" workbookViewId="0">
      <selection activeCell="J100" sqref="J100"/>
    </sheetView>
  </sheetViews>
  <sheetFormatPr defaultRowHeight="12.5" x14ac:dyDescent="0.25"/>
  <cols>
    <col min="1" max="1" width="17" style="2" customWidth="1"/>
    <col min="2" max="2" width="7.54296875" style="2" customWidth="1"/>
    <col min="3" max="3" width="9.1796875" style="2"/>
    <col min="4" max="4" width="9.1796875" style="2" customWidth="1"/>
    <col min="5" max="5" width="9.1796875" style="2"/>
    <col min="6" max="6" width="8.7265625" style="2" customWidth="1"/>
    <col min="7" max="7" width="7.453125" style="2" customWidth="1"/>
    <col min="8" max="8" width="7.54296875" style="2" customWidth="1"/>
    <col min="9" max="9" width="9.1796875" style="2" customWidth="1"/>
    <col min="10" max="10" width="9.1796875" style="2"/>
    <col min="11" max="11" width="10" style="2" customWidth="1"/>
    <col min="12" max="12" width="7.81640625" style="2" customWidth="1"/>
    <col min="13" max="13" width="7.26953125" style="2" customWidth="1"/>
    <col min="14" max="14" width="8.7265625" style="2" customWidth="1"/>
    <col min="15" max="15" width="9.1796875" style="2" customWidth="1"/>
    <col min="16" max="254" width="9.1796875" style="2"/>
    <col min="255" max="255" width="13.453125" style="2" customWidth="1"/>
    <col min="256" max="256" width="9.1796875" style="2"/>
    <col min="257" max="257" width="17" style="2" customWidth="1"/>
    <col min="258" max="258" width="7.54296875" style="2" customWidth="1"/>
    <col min="259" max="259" width="9.1796875" style="2"/>
    <col min="260" max="260" width="9.1796875" style="2" customWidth="1"/>
    <col min="261" max="261" width="9.1796875" style="2"/>
    <col min="262" max="262" width="8.7265625" style="2" customWidth="1"/>
    <col min="263" max="263" width="7.453125" style="2" customWidth="1"/>
    <col min="264" max="264" width="7.54296875" style="2" customWidth="1"/>
    <col min="265" max="265" width="9.1796875" style="2" customWidth="1"/>
    <col min="266" max="266" width="9.1796875" style="2"/>
    <col min="267" max="267" width="10" style="2" customWidth="1"/>
    <col min="268" max="268" width="7.81640625" style="2" customWidth="1"/>
    <col min="269" max="269" width="6.1796875" style="2" customWidth="1"/>
    <col min="270" max="270" width="8.7265625" style="2" customWidth="1"/>
    <col min="271" max="510" width="9.1796875" style="2"/>
    <col min="511" max="511" width="13.453125" style="2" customWidth="1"/>
    <col min="512" max="512" width="9.1796875" style="2"/>
    <col min="513" max="513" width="17" style="2" customWidth="1"/>
    <col min="514" max="514" width="7.54296875" style="2" customWidth="1"/>
    <col min="515" max="515" width="9.1796875" style="2"/>
    <col min="516" max="516" width="9.1796875" style="2" customWidth="1"/>
    <col min="517" max="517" width="9.1796875" style="2"/>
    <col min="518" max="518" width="8.7265625" style="2" customWidth="1"/>
    <col min="519" max="519" width="7.453125" style="2" customWidth="1"/>
    <col min="520" max="520" width="7.54296875" style="2" customWidth="1"/>
    <col min="521" max="521" width="9.1796875" style="2" customWidth="1"/>
    <col min="522" max="522" width="9.1796875" style="2"/>
    <col min="523" max="523" width="10" style="2" customWidth="1"/>
    <col min="524" max="524" width="7.81640625" style="2" customWidth="1"/>
    <col min="525" max="525" width="6.1796875" style="2" customWidth="1"/>
    <col min="526" max="526" width="8.7265625" style="2" customWidth="1"/>
    <col min="527" max="766" width="9.1796875" style="2"/>
    <col min="767" max="767" width="13.453125" style="2" customWidth="1"/>
    <col min="768" max="768" width="9.1796875" style="2"/>
    <col min="769" max="769" width="17" style="2" customWidth="1"/>
    <col min="770" max="770" width="7.54296875" style="2" customWidth="1"/>
    <col min="771" max="771" width="9.1796875" style="2"/>
    <col min="772" max="772" width="9.1796875" style="2" customWidth="1"/>
    <col min="773" max="773" width="9.1796875" style="2"/>
    <col min="774" max="774" width="8.7265625" style="2" customWidth="1"/>
    <col min="775" max="775" width="7.453125" style="2" customWidth="1"/>
    <col min="776" max="776" width="7.54296875" style="2" customWidth="1"/>
    <col min="777" max="777" width="9.1796875" style="2" customWidth="1"/>
    <col min="778" max="778" width="9.1796875" style="2"/>
    <col min="779" max="779" width="10" style="2" customWidth="1"/>
    <col min="780" max="780" width="7.81640625" style="2" customWidth="1"/>
    <col min="781" max="781" width="6.1796875" style="2" customWidth="1"/>
    <col min="782" max="782" width="8.7265625" style="2" customWidth="1"/>
    <col min="783" max="1022" width="9.1796875" style="2"/>
    <col min="1023" max="1023" width="13.453125" style="2" customWidth="1"/>
    <col min="1024" max="1024" width="9.1796875" style="2"/>
    <col min="1025" max="1025" width="17" style="2" customWidth="1"/>
    <col min="1026" max="1026" width="7.54296875" style="2" customWidth="1"/>
    <col min="1027" max="1027" width="9.1796875" style="2"/>
    <col min="1028" max="1028" width="9.1796875" style="2" customWidth="1"/>
    <col min="1029" max="1029" width="9.1796875" style="2"/>
    <col min="1030" max="1030" width="8.7265625" style="2" customWidth="1"/>
    <col min="1031" max="1031" width="7.453125" style="2" customWidth="1"/>
    <col min="1032" max="1032" width="7.54296875" style="2" customWidth="1"/>
    <col min="1033" max="1033" width="9.1796875" style="2" customWidth="1"/>
    <col min="1034" max="1034" width="9.1796875" style="2"/>
    <col min="1035" max="1035" width="10" style="2" customWidth="1"/>
    <col min="1036" max="1036" width="7.81640625" style="2" customWidth="1"/>
    <col min="1037" max="1037" width="6.1796875" style="2" customWidth="1"/>
    <col min="1038" max="1038" width="8.7265625" style="2" customWidth="1"/>
    <col min="1039" max="1278" width="9.1796875" style="2"/>
    <col min="1279" max="1279" width="13.453125" style="2" customWidth="1"/>
    <col min="1280" max="1280" width="9.1796875" style="2"/>
    <col min="1281" max="1281" width="17" style="2" customWidth="1"/>
    <col min="1282" max="1282" width="7.54296875" style="2" customWidth="1"/>
    <col min="1283" max="1283" width="9.1796875" style="2"/>
    <col min="1284" max="1284" width="9.1796875" style="2" customWidth="1"/>
    <col min="1285" max="1285" width="9.1796875" style="2"/>
    <col min="1286" max="1286" width="8.7265625" style="2" customWidth="1"/>
    <col min="1287" max="1287" width="7.453125" style="2" customWidth="1"/>
    <col min="1288" max="1288" width="7.54296875" style="2" customWidth="1"/>
    <col min="1289" max="1289" width="9.1796875" style="2" customWidth="1"/>
    <col min="1290" max="1290" width="9.1796875" style="2"/>
    <col min="1291" max="1291" width="10" style="2" customWidth="1"/>
    <col min="1292" max="1292" width="7.81640625" style="2" customWidth="1"/>
    <col min="1293" max="1293" width="6.1796875" style="2" customWidth="1"/>
    <col min="1294" max="1294" width="8.7265625" style="2" customWidth="1"/>
    <col min="1295" max="1534" width="9.1796875" style="2"/>
    <col min="1535" max="1535" width="13.453125" style="2" customWidth="1"/>
    <col min="1536" max="1536" width="9.1796875" style="2"/>
    <col min="1537" max="1537" width="17" style="2" customWidth="1"/>
    <col min="1538" max="1538" width="7.54296875" style="2" customWidth="1"/>
    <col min="1539" max="1539" width="9.1796875" style="2"/>
    <col min="1540" max="1540" width="9.1796875" style="2" customWidth="1"/>
    <col min="1541" max="1541" width="9.1796875" style="2"/>
    <col min="1542" max="1542" width="8.7265625" style="2" customWidth="1"/>
    <col min="1543" max="1543" width="7.453125" style="2" customWidth="1"/>
    <col min="1544" max="1544" width="7.54296875" style="2" customWidth="1"/>
    <col min="1545" max="1545" width="9.1796875" style="2" customWidth="1"/>
    <col min="1546" max="1546" width="9.1796875" style="2"/>
    <col min="1547" max="1547" width="10" style="2" customWidth="1"/>
    <col min="1548" max="1548" width="7.81640625" style="2" customWidth="1"/>
    <col min="1549" max="1549" width="6.1796875" style="2" customWidth="1"/>
    <col min="1550" max="1550" width="8.7265625" style="2" customWidth="1"/>
    <col min="1551" max="1790" width="9.1796875" style="2"/>
    <col min="1791" max="1791" width="13.453125" style="2" customWidth="1"/>
    <col min="1792" max="1792" width="9.1796875" style="2"/>
    <col min="1793" max="1793" width="17" style="2" customWidth="1"/>
    <col min="1794" max="1794" width="7.54296875" style="2" customWidth="1"/>
    <col min="1795" max="1795" width="9.1796875" style="2"/>
    <col min="1796" max="1796" width="9.1796875" style="2" customWidth="1"/>
    <col min="1797" max="1797" width="9.1796875" style="2"/>
    <col min="1798" max="1798" width="8.7265625" style="2" customWidth="1"/>
    <col min="1799" max="1799" width="7.453125" style="2" customWidth="1"/>
    <col min="1800" max="1800" width="7.54296875" style="2" customWidth="1"/>
    <col min="1801" max="1801" width="9.1796875" style="2" customWidth="1"/>
    <col min="1802" max="1802" width="9.1796875" style="2"/>
    <col min="1803" max="1803" width="10" style="2" customWidth="1"/>
    <col min="1804" max="1804" width="7.81640625" style="2" customWidth="1"/>
    <col min="1805" max="1805" width="6.1796875" style="2" customWidth="1"/>
    <col min="1806" max="1806" width="8.7265625" style="2" customWidth="1"/>
    <col min="1807" max="2046" width="9.1796875" style="2"/>
    <col min="2047" max="2047" width="13.453125" style="2" customWidth="1"/>
    <col min="2048" max="2048" width="9.1796875" style="2"/>
    <col min="2049" max="2049" width="17" style="2" customWidth="1"/>
    <col min="2050" max="2050" width="7.54296875" style="2" customWidth="1"/>
    <col min="2051" max="2051" width="9.1796875" style="2"/>
    <col min="2052" max="2052" width="9.1796875" style="2" customWidth="1"/>
    <col min="2053" max="2053" width="9.1796875" style="2"/>
    <col min="2054" max="2054" width="8.7265625" style="2" customWidth="1"/>
    <col min="2055" max="2055" width="7.453125" style="2" customWidth="1"/>
    <col min="2056" max="2056" width="7.54296875" style="2" customWidth="1"/>
    <col min="2057" max="2057" width="9.1796875" style="2" customWidth="1"/>
    <col min="2058" max="2058" width="9.1796875" style="2"/>
    <col min="2059" max="2059" width="10" style="2" customWidth="1"/>
    <col min="2060" max="2060" width="7.81640625" style="2" customWidth="1"/>
    <col min="2061" max="2061" width="6.1796875" style="2" customWidth="1"/>
    <col min="2062" max="2062" width="8.7265625" style="2" customWidth="1"/>
    <col min="2063" max="2302" width="9.1796875" style="2"/>
    <col min="2303" max="2303" width="13.453125" style="2" customWidth="1"/>
    <col min="2304" max="2304" width="9.1796875" style="2"/>
    <col min="2305" max="2305" width="17" style="2" customWidth="1"/>
    <col min="2306" max="2306" width="7.54296875" style="2" customWidth="1"/>
    <col min="2307" max="2307" width="9.1796875" style="2"/>
    <col min="2308" max="2308" width="9.1796875" style="2" customWidth="1"/>
    <col min="2309" max="2309" width="9.1796875" style="2"/>
    <col min="2310" max="2310" width="8.7265625" style="2" customWidth="1"/>
    <col min="2311" max="2311" width="7.453125" style="2" customWidth="1"/>
    <col min="2312" max="2312" width="7.54296875" style="2" customWidth="1"/>
    <col min="2313" max="2313" width="9.1796875" style="2" customWidth="1"/>
    <col min="2314" max="2314" width="9.1796875" style="2"/>
    <col min="2315" max="2315" width="10" style="2" customWidth="1"/>
    <col min="2316" max="2316" width="7.81640625" style="2" customWidth="1"/>
    <col min="2317" max="2317" width="6.1796875" style="2" customWidth="1"/>
    <col min="2318" max="2318" width="8.7265625" style="2" customWidth="1"/>
    <col min="2319" max="2558" width="9.1796875" style="2"/>
    <col min="2559" max="2559" width="13.453125" style="2" customWidth="1"/>
    <col min="2560" max="2560" width="9.1796875" style="2"/>
    <col min="2561" max="2561" width="17" style="2" customWidth="1"/>
    <col min="2562" max="2562" width="7.54296875" style="2" customWidth="1"/>
    <col min="2563" max="2563" width="9.1796875" style="2"/>
    <col min="2564" max="2564" width="9.1796875" style="2" customWidth="1"/>
    <col min="2565" max="2565" width="9.1796875" style="2"/>
    <col min="2566" max="2566" width="8.7265625" style="2" customWidth="1"/>
    <col min="2567" max="2567" width="7.453125" style="2" customWidth="1"/>
    <col min="2568" max="2568" width="7.54296875" style="2" customWidth="1"/>
    <col min="2569" max="2569" width="9.1796875" style="2" customWidth="1"/>
    <col min="2570" max="2570" width="9.1796875" style="2"/>
    <col min="2571" max="2571" width="10" style="2" customWidth="1"/>
    <col min="2572" max="2572" width="7.81640625" style="2" customWidth="1"/>
    <col min="2573" max="2573" width="6.1796875" style="2" customWidth="1"/>
    <col min="2574" max="2574" width="8.7265625" style="2" customWidth="1"/>
    <col min="2575" max="2814" width="9.1796875" style="2"/>
    <col min="2815" max="2815" width="13.453125" style="2" customWidth="1"/>
    <col min="2816" max="2816" width="9.1796875" style="2"/>
    <col min="2817" max="2817" width="17" style="2" customWidth="1"/>
    <col min="2818" max="2818" width="7.54296875" style="2" customWidth="1"/>
    <col min="2819" max="2819" width="9.1796875" style="2"/>
    <col min="2820" max="2820" width="9.1796875" style="2" customWidth="1"/>
    <col min="2821" max="2821" width="9.1796875" style="2"/>
    <col min="2822" max="2822" width="8.7265625" style="2" customWidth="1"/>
    <col min="2823" max="2823" width="7.453125" style="2" customWidth="1"/>
    <col min="2824" max="2824" width="7.54296875" style="2" customWidth="1"/>
    <col min="2825" max="2825" width="9.1796875" style="2" customWidth="1"/>
    <col min="2826" max="2826" width="9.1796875" style="2"/>
    <col min="2827" max="2827" width="10" style="2" customWidth="1"/>
    <col min="2828" max="2828" width="7.81640625" style="2" customWidth="1"/>
    <col min="2829" max="2829" width="6.1796875" style="2" customWidth="1"/>
    <col min="2830" max="2830" width="8.7265625" style="2" customWidth="1"/>
    <col min="2831" max="3070" width="9.1796875" style="2"/>
    <col min="3071" max="3071" width="13.453125" style="2" customWidth="1"/>
    <col min="3072" max="3072" width="9.1796875" style="2"/>
    <col min="3073" max="3073" width="17" style="2" customWidth="1"/>
    <col min="3074" max="3074" width="7.54296875" style="2" customWidth="1"/>
    <col min="3075" max="3075" width="9.1796875" style="2"/>
    <col min="3076" max="3076" width="9.1796875" style="2" customWidth="1"/>
    <col min="3077" max="3077" width="9.1796875" style="2"/>
    <col min="3078" max="3078" width="8.7265625" style="2" customWidth="1"/>
    <col min="3079" max="3079" width="7.453125" style="2" customWidth="1"/>
    <col min="3080" max="3080" width="7.54296875" style="2" customWidth="1"/>
    <col min="3081" max="3081" width="9.1796875" style="2" customWidth="1"/>
    <col min="3082" max="3082" width="9.1796875" style="2"/>
    <col min="3083" max="3083" width="10" style="2" customWidth="1"/>
    <col min="3084" max="3084" width="7.81640625" style="2" customWidth="1"/>
    <col min="3085" max="3085" width="6.1796875" style="2" customWidth="1"/>
    <col min="3086" max="3086" width="8.7265625" style="2" customWidth="1"/>
    <col min="3087" max="3326" width="9.1796875" style="2"/>
    <col min="3327" max="3327" width="13.453125" style="2" customWidth="1"/>
    <col min="3328" max="3328" width="9.1796875" style="2"/>
    <col min="3329" max="3329" width="17" style="2" customWidth="1"/>
    <col min="3330" max="3330" width="7.54296875" style="2" customWidth="1"/>
    <col min="3331" max="3331" width="9.1796875" style="2"/>
    <col min="3332" max="3332" width="9.1796875" style="2" customWidth="1"/>
    <col min="3333" max="3333" width="9.1796875" style="2"/>
    <col min="3334" max="3334" width="8.7265625" style="2" customWidth="1"/>
    <col min="3335" max="3335" width="7.453125" style="2" customWidth="1"/>
    <col min="3336" max="3336" width="7.54296875" style="2" customWidth="1"/>
    <col min="3337" max="3337" width="9.1796875" style="2" customWidth="1"/>
    <col min="3338" max="3338" width="9.1796875" style="2"/>
    <col min="3339" max="3339" width="10" style="2" customWidth="1"/>
    <col min="3340" max="3340" width="7.81640625" style="2" customWidth="1"/>
    <col min="3341" max="3341" width="6.1796875" style="2" customWidth="1"/>
    <col min="3342" max="3342" width="8.7265625" style="2" customWidth="1"/>
    <col min="3343" max="3582" width="9.1796875" style="2"/>
    <col min="3583" max="3583" width="13.453125" style="2" customWidth="1"/>
    <col min="3584" max="3584" width="9.1796875" style="2"/>
    <col min="3585" max="3585" width="17" style="2" customWidth="1"/>
    <col min="3586" max="3586" width="7.54296875" style="2" customWidth="1"/>
    <col min="3587" max="3587" width="9.1796875" style="2"/>
    <col min="3588" max="3588" width="9.1796875" style="2" customWidth="1"/>
    <col min="3589" max="3589" width="9.1796875" style="2"/>
    <col min="3590" max="3590" width="8.7265625" style="2" customWidth="1"/>
    <col min="3591" max="3591" width="7.453125" style="2" customWidth="1"/>
    <col min="3592" max="3592" width="7.54296875" style="2" customWidth="1"/>
    <col min="3593" max="3593" width="9.1796875" style="2" customWidth="1"/>
    <col min="3594" max="3594" width="9.1796875" style="2"/>
    <col min="3595" max="3595" width="10" style="2" customWidth="1"/>
    <col min="3596" max="3596" width="7.81640625" style="2" customWidth="1"/>
    <col min="3597" max="3597" width="6.1796875" style="2" customWidth="1"/>
    <col min="3598" max="3598" width="8.7265625" style="2" customWidth="1"/>
    <col min="3599" max="3838" width="9.1796875" style="2"/>
    <col min="3839" max="3839" width="13.453125" style="2" customWidth="1"/>
    <col min="3840" max="3840" width="9.1796875" style="2"/>
    <col min="3841" max="3841" width="17" style="2" customWidth="1"/>
    <col min="3842" max="3842" width="7.54296875" style="2" customWidth="1"/>
    <col min="3843" max="3843" width="9.1796875" style="2"/>
    <col min="3844" max="3844" width="9.1796875" style="2" customWidth="1"/>
    <col min="3845" max="3845" width="9.1796875" style="2"/>
    <col min="3846" max="3846" width="8.7265625" style="2" customWidth="1"/>
    <col min="3847" max="3847" width="7.453125" style="2" customWidth="1"/>
    <col min="3848" max="3848" width="7.54296875" style="2" customWidth="1"/>
    <col min="3849" max="3849" width="9.1796875" style="2" customWidth="1"/>
    <col min="3850" max="3850" width="9.1796875" style="2"/>
    <col min="3851" max="3851" width="10" style="2" customWidth="1"/>
    <col min="3852" max="3852" width="7.81640625" style="2" customWidth="1"/>
    <col min="3853" max="3853" width="6.1796875" style="2" customWidth="1"/>
    <col min="3854" max="3854" width="8.7265625" style="2" customWidth="1"/>
    <col min="3855" max="4094" width="9.1796875" style="2"/>
    <col min="4095" max="4095" width="13.453125" style="2" customWidth="1"/>
    <col min="4096" max="4096" width="9.1796875" style="2"/>
    <col min="4097" max="4097" width="17" style="2" customWidth="1"/>
    <col min="4098" max="4098" width="7.54296875" style="2" customWidth="1"/>
    <col min="4099" max="4099" width="9.1796875" style="2"/>
    <col min="4100" max="4100" width="9.1796875" style="2" customWidth="1"/>
    <col min="4101" max="4101" width="9.1796875" style="2"/>
    <col min="4102" max="4102" width="8.7265625" style="2" customWidth="1"/>
    <col min="4103" max="4103" width="7.453125" style="2" customWidth="1"/>
    <col min="4104" max="4104" width="7.54296875" style="2" customWidth="1"/>
    <col min="4105" max="4105" width="9.1796875" style="2" customWidth="1"/>
    <col min="4106" max="4106" width="9.1796875" style="2"/>
    <col min="4107" max="4107" width="10" style="2" customWidth="1"/>
    <col min="4108" max="4108" width="7.81640625" style="2" customWidth="1"/>
    <col min="4109" max="4109" width="6.1796875" style="2" customWidth="1"/>
    <col min="4110" max="4110" width="8.7265625" style="2" customWidth="1"/>
    <col min="4111" max="4350" width="9.1796875" style="2"/>
    <col min="4351" max="4351" width="13.453125" style="2" customWidth="1"/>
    <col min="4352" max="4352" width="9.1796875" style="2"/>
    <col min="4353" max="4353" width="17" style="2" customWidth="1"/>
    <col min="4354" max="4354" width="7.54296875" style="2" customWidth="1"/>
    <col min="4355" max="4355" width="9.1796875" style="2"/>
    <col min="4356" max="4356" width="9.1796875" style="2" customWidth="1"/>
    <col min="4357" max="4357" width="9.1796875" style="2"/>
    <col min="4358" max="4358" width="8.7265625" style="2" customWidth="1"/>
    <col min="4359" max="4359" width="7.453125" style="2" customWidth="1"/>
    <col min="4360" max="4360" width="7.54296875" style="2" customWidth="1"/>
    <col min="4361" max="4361" width="9.1796875" style="2" customWidth="1"/>
    <col min="4362" max="4362" width="9.1796875" style="2"/>
    <col min="4363" max="4363" width="10" style="2" customWidth="1"/>
    <col min="4364" max="4364" width="7.81640625" style="2" customWidth="1"/>
    <col min="4365" max="4365" width="6.1796875" style="2" customWidth="1"/>
    <col min="4366" max="4366" width="8.7265625" style="2" customWidth="1"/>
    <col min="4367" max="4606" width="9.1796875" style="2"/>
    <col min="4607" max="4607" width="13.453125" style="2" customWidth="1"/>
    <col min="4608" max="4608" width="9.1796875" style="2"/>
    <col min="4609" max="4609" width="17" style="2" customWidth="1"/>
    <col min="4610" max="4610" width="7.54296875" style="2" customWidth="1"/>
    <col min="4611" max="4611" width="9.1796875" style="2"/>
    <col min="4612" max="4612" width="9.1796875" style="2" customWidth="1"/>
    <col min="4613" max="4613" width="9.1796875" style="2"/>
    <col min="4614" max="4614" width="8.7265625" style="2" customWidth="1"/>
    <col min="4615" max="4615" width="7.453125" style="2" customWidth="1"/>
    <col min="4616" max="4616" width="7.54296875" style="2" customWidth="1"/>
    <col min="4617" max="4617" width="9.1796875" style="2" customWidth="1"/>
    <col min="4618" max="4618" width="9.1796875" style="2"/>
    <col min="4619" max="4619" width="10" style="2" customWidth="1"/>
    <col min="4620" max="4620" width="7.81640625" style="2" customWidth="1"/>
    <col min="4621" max="4621" width="6.1796875" style="2" customWidth="1"/>
    <col min="4622" max="4622" width="8.7265625" style="2" customWidth="1"/>
    <col min="4623" max="4862" width="9.1796875" style="2"/>
    <col min="4863" max="4863" width="13.453125" style="2" customWidth="1"/>
    <col min="4864" max="4864" width="9.1796875" style="2"/>
    <col min="4865" max="4865" width="17" style="2" customWidth="1"/>
    <col min="4866" max="4866" width="7.54296875" style="2" customWidth="1"/>
    <col min="4867" max="4867" width="9.1796875" style="2"/>
    <col min="4868" max="4868" width="9.1796875" style="2" customWidth="1"/>
    <col min="4869" max="4869" width="9.1796875" style="2"/>
    <col min="4870" max="4870" width="8.7265625" style="2" customWidth="1"/>
    <col min="4871" max="4871" width="7.453125" style="2" customWidth="1"/>
    <col min="4872" max="4872" width="7.54296875" style="2" customWidth="1"/>
    <col min="4873" max="4873" width="9.1796875" style="2" customWidth="1"/>
    <col min="4874" max="4874" width="9.1796875" style="2"/>
    <col min="4875" max="4875" width="10" style="2" customWidth="1"/>
    <col min="4876" max="4876" width="7.81640625" style="2" customWidth="1"/>
    <col min="4877" max="4877" width="6.1796875" style="2" customWidth="1"/>
    <col min="4878" max="4878" width="8.7265625" style="2" customWidth="1"/>
    <col min="4879" max="5118" width="9.1796875" style="2"/>
    <col min="5119" max="5119" width="13.453125" style="2" customWidth="1"/>
    <col min="5120" max="5120" width="9.1796875" style="2"/>
    <col min="5121" max="5121" width="17" style="2" customWidth="1"/>
    <col min="5122" max="5122" width="7.54296875" style="2" customWidth="1"/>
    <col min="5123" max="5123" width="9.1796875" style="2"/>
    <col min="5124" max="5124" width="9.1796875" style="2" customWidth="1"/>
    <col min="5125" max="5125" width="9.1796875" style="2"/>
    <col min="5126" max="5126" width="8.7265625" style="2" customWidth="1"/>
    <col min="5127" max="5127" width="7.453125" style="2" customWidth="1"/>
    <col min="5128" max="5128" width="7.54296875" style="2" customWidth="1"/>
    <col min="5129" max="5129" width="9.1796875" style="2" customWidth="1"/>
    <col min="5130" max="5130" width="9.1796875" style="2"/>
    <col min="5131" max="5131" width="10" style="2" customWidth="1"/>
    <col min="5132" max="5132" width="7.81640625" style="2" customWidth="1"/>
    <col min="5133" max="5133" width="6.1796875" style="2" customWidth="1"/>
    <col min="5134" max="5134" width="8.7265625" style="2" customWidth="1"/>
    <col min="5135" max="5374" width="9.1796875" style="2"/>
    <col min="5375" max="5375" width="13.453125" style="2" customWidth="1"/>
    <col min="5376" max="5376" width="9.1796875" style="2"/>
    <col min="5377" max="5377" width="17" style="2" customWidth="1"/>
    <col min="5378" max="5378" width="7.54296875" style="2" customWidth="1"/>
    <col min="5379" max="5379" width="9.1796875" style="2"/>
    <col min="5380" max="5380" width="9.1796875" style="2" customWidth="1"/>
    <col min="5381" max="5381" width="9.1796875" style="2"/>
    <col min="5382" max="5382" width="8.7265625" style="2" customWidth="1"/>
    <col min="5383" max="5383" width="7.453125" style="2" customWidth="1"/>
    <col min="5384" max="5384" width="7.54296875" style="2" customWidth="1"/>
    <col min="5385" max="5385" width="9.1796875" style="2" customWidth="1"/>
    <col min="5386" max="5386" width="9.1796875" style="2"/>
    <col min="5387" max="5387" width="10" style="2" customWidth="1"/>
    <col min="5388" max="5388" width="7.81640625" style="2" customWidth="1"/>
    <col min="5389" max="5389" width="6.1796875" style="2" customWidth="1"/>
    <col min="5390" max="5390" width="8.7265625" style="2" customWidth="1"/>
    <col min="5391" max="5630" width="9.1796875" style="2"/>
    <col min="5631" max="5631" width="13.453125" style="2" customWidth="1"/>
    <col min="5632" max="5632" width="9.1796875" style="2"/>
    <col min="5633" max="5633" width="17" style="2" customWidth="1"/>
    <col min="5634" max="5634" width="7.54296875" style="2" customWidth="1"/>
    <col min="5635" max="5635" width="9.1796875" style="2"/>
    <col min="5636" max="5636" width="9.1796875" style="2" customWidth="1"/>
    <col min="5637" max="5637" width="9.1796875" style="2"/>
    <col min="5638" max="5638" width="8.7265625" style="2" customWidth="1"/>
    <col min="5639" max="5639" width="7.453125" style="2" customWidth="1"/>
    <col min="5640" max="5640" width="7.54296875" style="2" customWidth="1"/>
    <col min="5641" max="5641" width="9.1796875" style="2" customWidth="1"/>
    <col min="5642" max="5642" width="9.1796875" style="2"/>
    <col min="5643" max="5643" width="10" style="2" customWidth="1"/>
    <col min="5644" max="5644" width="7.81640625" style="2" customWidth="1"/>
    <col min="5645" max="5645" width="6.1796875" style="2" customWidth="1"/>
    <col min="5646" max="5646" width="8.7265625" style="2" customWidth="1"/>
    <col min="5647" max="5886" width="9.1796875" style="2"/>
    <col min="5887" max="5887" width="13.453125" style="2" customWidth="1"/>
    <col min="5888" max="5888" width="9.1796875" style="2"/>
    <col min="5889" max="5889" width="17" style="2" customWidth="1"/>
    <col min="5890" max="5890" width="7.54296875" style="2" customWidth="1"/>
    <col min="5891" max="5891" width="9.1796875" style="2"/>
    <col min="5892" max="5892" width="9.1796875" style="2" customWidth="1"/>
    <col min="5893" max="5893" width="9.1796875" style="2"/>
    <col min="5894" max="5894" width="8.7265625" style="2" customWidth="1"/>
    <col min="5895" max="5895" width="7.453125" style="2" customWidth="1"/>
    <col min="5896" max="5896" width="7.54296875" style="2" customWidth="1"/>
    <col min="5897" max="5897" width="9.1796875" style="2" customWidth="1"/>
    <col min="5898" max="5898" width="9.1796875" style="2"/>
    <col min="5899" max="5899" width="10" style="2" customWidth="1"/>
    <col min="5900" max="5900" width="7.81640625" style="2" customWidth="1"/>
    <col min="5901" max="5901" width="6.1796875" style="2" customWidth="1"/>
    <col min="5902" max="5902" width="8.7265625" style="2" customWidth="1"/>
    <col min="5903" max="6142" width="9.1796875" style="2"/>
    <col min="6143" max="6143" width="13.453125" style="2" customWidth="1"/>
    <col min="6144" max="6144" width="9.1796875" style="2"/>
    <col min="6145" max="6145" width="17" style="2" customWidth="1"/>
    <col min="6146" max="6146" width="7.54296875" style="2" customWidth="1"/>
    <col min="6147" max="6147" width="9.1796875" style="2"/>
    <col min="6148" max="6148" width="9.1796875" style="2" customWidth="1"/>
    <col min="6149" max="6149" width="9.1796875" style="2"/>
    <col min="6150" max="6150" width="8.7265625" style="2" customWidth="1"/>
    <col min="6151" max="6151" width="7.453125" style="2" customWidth="1"/>
    <col min="6152" max="6152" width="7.54296875" style="2" customWidth="1"/>
    <col min="6153" max="6153" width="9.1796875" style="2" customWidth="1"/>
    <col min="6154" max="6154" width="9.1796875" style="2"/>
    <col min="6155" max="6155" width="10" style="2" customWidth="1"/>
    <col min="6156" max="6156" width="7.81640625" style="2" customWidth="1"/>
    <col min="6157" max="6157" width="6.1796875" style="2" customWidth="1"/>
    <col min="6158" max="6158" width="8.7265625" style="2" customWidth="1"/>
    <col min="6159" max="6398" width="9.1796875" style="2"/>
    <col min="6399" max="6399" width="13.453125" style="2" customWidth="1"/>
    <col min="6400" max="6400" width="9.1796875" style="2"/>
    <col min="6401" max="6401" width="17" style="2" customWidth="1"/>
    <col min="6402" max="6402" width="7.54296875" style="2" customWidth="1"/>
    <col min="6403" max="6403" width="9.1796875" style="2"/>
    <col min="6404" max="6404" width="9.1796875" style="2" customWidth="1"/>
    <col min="6405" max="6405" width="9.1796875" style="2"/>
    <col min="6406" max="6406" width="8.7265625" style="2" customWidth="1"/>
    <col min="6407" max="6407" width="7.453125" style="2" customWidth="1"/>
    <col min="6408" max="6408" width="7.54296875" style="2" customWidth="1"/>
    <col min="6409" max="6409" width="9.1796875" style="2" customWidth="1"/>
    <col min="6410" max="6410" width="9.1796875" style="2"/>
    <col min="6411" max="6411" width="10" style="2" customWidth="1"/>
    <col min="6412" max="6412" width="7.81640625" style="2" customWidth="1"/>
    <col min="6413" max="6413" width="6.1796875" style="2" customWidth="1"/>
    <col min="6414" max="6414" width="8.7265625" style="2" customWidth="1"/>
    <col min="6415" max="6654" width="9.1796875" style="2"/>
    <col min="6655" max="6655" width="13.453125" style="2" customWidth="1"/>
    <col min="6656" max="6656" width="9.1796875" style="2"/>
    <col min="6657" max="6657" width="17" style="2" customWidth="1"/>
    <col min="6658" max="6658" width="7.54296875" style="2" customWidth="1"/>
    <col min="6659" max="6659" width="9.1796875" style="2"/>
    <col min="6660" max="6660" width="9.1796875" style="2" customWidth="1"/>
    <col min="6661" max="6661" width="9.1796875" style="2"/>
    <col min="6662" max="6662" width="8.7265625" style="2" customWidth="1"/>
    <col min="6663" max="6663" width="7.453125" style="2" customWidth="1"/>
    <col min="6664" max="6664" width="7.54296875" style="2" customWidth="1"/>
    <col min="6665" max="6665" width="9.1796875" style="2" customWidth="1"/>
    <col min="6666" max="6666" width="9.1796875" style="2"/>
    <col min="6667" max="6667" width="10" style="2" customWidth="1"/>
    <col min="6668" max="6668" width="7.81640625" style="2" customWidth="1"/>
    <col min="6669" max="6669" width="6.1796875" style="2" customWidth="1"/>
    <col min="6670" max="6670" width="8.7265625" style="2" customWidth="1"/>
    <col min="6671" max="6910" width="9.1796875" style="2"/>
    <col min="6911" max="6911" width="13.453125" style="2" customWidth="1"/>
    <col min="6912" max="6912" width="9.1796875" style="2"/>
    <col min="6913" max="6913" width="17" style="2" customWidth="1"/>
    <col min="6914" max="6914" width="7.54296875" style="2" customWidth="1"/>
    <col min="6915" max="6915" width="9.1796875" style="2"/>
    <col min="6916" max="6916" width="9.1796875" style="2" customWidth="1"/>
    <col min="6917" max="6917" width="9.1796875" style="2"/>
    <col min="6918" max="6918" width="8.7265625" style="2" customWidth="1"/>
    <col min="6919" max="6919" width="7.453125" style="2" customWidth="1"/>
    <col min="6920" max="6920" width="7.54296875" style="2" customWidth="1"/>
    <col min="6921" max="6921" width="9.1796875" style="2" customWidth="1"/>
    <col min="6922" max="6922" width="9.1796875" style="2"/>
    <col min="6923" max="6923" width="10" style="2" customWidth="1"/>
    <col min="6924" max="6924" width="7.81640625" style="2" customWidth="1"/>
    <col min="6925" max="6925" width="6.1796875" style="2" customWidth="1"/>
    <col min="6926" max="6926" width="8.7265625" style="2" customWidth="1"/>
    <col min="6927" max="7166" width="9.1796875" style="2"/>
    <col min="7167" max="7167" width="13.453125" style="2" customWidth="1"/>
    <col min="7168" max="7168" width="9.1796875" style="2"/>
    <col min="7169" max="7169" width="17" style="2" customWidth="1"/>
    <col min="7170" max="7170" width="7.54296875" style="2" customWidth="1"/>
    <col min="7171" max="7171" width="9.1796875" style="2"/>
    <col min="7172" max="7172" width="9.1796875" style="2" customWidth="1"/>
    <col min="7173" max="7173" width="9.1796875" style="2"/>
    <col min="7174" max="7174" width="8.7265625" style="2" customWidth="1"/>
    <col min="7175" max="7175" width="7.453125" style="2" customWidth="1"/>
    <col min="7176" max="7176" width="7.54296875" style="2" customWidth="1"/>
    <col min="7177" max="7177" width="9.1796875" style="2" customWidth="1"/>
    <col min="7178" max="7178" width="9.1796875" style="2"/>
    <col min="7179" max="7179" width="10" style="2" customWidth="1"/>
    <col min="7180" max="7180" width="7.81640625" style="2" customWidth="1"/>
    <col min="7181" max="7181" width="6.1796875" style="2" customWidth="1"/>
    <col min="7182" max="7182" width="8.7265625" style="2" customWidth="1"/>
    <col min="7183" max="7422" width="9.1796875" style="2"/>
    <col min="7423" max="7423" width="13.453125" style="2" customWidth="1"/>
    <col min="7424" max="7424" width="9.1796875" style="2"/>
    <col min="7425" max="7425" width="17" style="2" customWidth="1"/>
    <col min="7426" max="7426" width="7.54296875" style="2" customWidth="1"/>
    <col min="7427" max="7427" width="9.1796875" style="2"/>
    <col min="7428" max="7428" width="9.1796875" style="2" customWidth="1"/>
    <col min="7429" max="7429" width="9.1796875" style="2"/>
    <col min="7430" max="7430" width="8.7265625" style="2" customWidth="1"/>
    <col min="7431" max="7431" width="7.453125" style="2" customWidth="1"/>
    <col min="7432" max="7432" width="7.54296875" style="2" customWidth="1"/>
    <col min="7433" max="7433" width="9.1796875" style="2" customWidth="1"/>
    <col min="7434" max="7434" width="9.1796875" style="2"/>
    <col min="7435" max="7435" width="10" style="2" customWidth="1"/>
    <col min="7436" max="7436" width="7.81640625" style="2" customWidth="1"/>
    <col min="7437" max="7437" width="6.1796875" style="2" customWidth="1"/>
    <col min="7438" max="7438" width="8.7265625" style="2" customWidth="1"/>
    <col min="7439" max="7678" width="9.1796875" style="2"/>
    <col min="7679" max="7679" width="13.453125" style="2" customWidth="1"/>
    <col min="7680" max="7680" width="9.1796875" style="2"/>
    <col min="7681" max="7681" width="17" style="2" customWidth="1"/>
    <col min="7682" max="7682" width="7.54296875" style="2" customWidth="1"/>
    <col min="7683" max="7683" width="9.1796875" style="2"/>
    <col min="7684" max="7684" width="9.1796875" style="2" customWidth="1"/>
    <col min="7685" max="7685" width="9.1796875" style="2"/>
    <col min="7686" max="7686" width="8.7265625" style="2" customWidth="1"/>
    <col min="7687" max="7687" width="7.453125" style="2" customWidth="1"/>
    <col min="7688" max="7688" width="7.54296875" style="2" customWidth="1"/>
    <col min="7689" max="7689" width="9.1796875" style="2" customWidth="1"/>
    <col min="7690" max="7690" width="9.1796875" style="2"/>
    <col min="7691" max="7691" width="10" style="2" customWidth="1"/>
    <col min="7692" max="7692" width="7.81640625" style="2" customWidth="1"/>
    <col min="7693" max="7693" width="6.1796875" style="2" customWidth="1"/>
    <col min="7694" max="7694" width="8.7265625" style="2" customWidth="1"/>
    <col min="7695" max="7934" width="9.1796875" style="2"/>
    <col min="7935" max="7935" width="13.453125" style="2" customWidth="1"/>
    <col min="7936" max="7936" width="9.1796875" style="2"/>
    <col min="7937" max="7937" width="17" style="2" customWidth="1"/>
    <col min="7938" max="7938" width="7.54296875" style="2" customWidth="1"/>
    <col min="7939" max="7939" width="9.1796875" style="2"/>
    <col min="7940" max="7940" width="9.1796875" style="2" customWidth="1"/>
    <col min="7941" max="7941" width="9.1796875" style="2"/>
    <col min="7942" max="7942" width="8.7265625" style="2" customWidth="1"/>
    <col min="7943" max="7943" width="7.453125" style="2" customWidth="1"/>
    <col min="7944" max="7944" width="7.54296875" style="2" customWidth="1"/>
    <col min="7945" max="7945" width="9.1796875" style="2" customWidth="1"/>
    <col min="7946" max="7946" width="9.1796875" style="2"/>
    <col min="7947" max="7947" width="10" style="2" customWidth="1"/>
    <col min="7948" max="7948" width="7.81640625" style="2" customWidth="1"/>
    <col min="7949" max="7949" width="6.1796875" style="2" customWidth="1"/>
    <col min="7950" max="7950" width="8.7265625" style="2" customWidth="1"/>
    <col min="7951" max="8190" width="9.1796875" style="2"/>
    <col min="8191" max="8191" width="13.453125" style="2" customWidth="1"/>
    <col min="8192" max="8192" width="9.1796875" style="2"/>
    <col min="8193" max="8193" width="17" style="2" customWidth="1"/>
    <col min="8194" max="8194" width="7.54296875" style="2" customWidth="1"/>
    <col min="8195" max="8195" width="9.1796875" style="2"/>
    <col min="8196" max="8196" width="9.1796875" style="2" customWidth="1"/>
    <col min="8197" max="8197" width="9.1796875" style="2"/>
    <col min="8198" max="8198" width="8.7265625" style="2" customWidth="1"/>
    <col min="8199" max="8199" width="7.453125" style="2" customWidth="1"/>
    <col min="8200" max="8200" width="7.54296875" style="2" customWidth="1"/>
    <col min="8201" max="8201" width="9.1796875" style="2" customWidth="1"/>
    <col min="8202" max="8202" width="9.1796875" style="2"/>
    <col min="8203" max="8203" width="10" style="2" customWidth="1"/>
    <col min="8204" max="8204" width="7.81640625" style="2" customWidth="1"/>
    <col min="8205" max="8205" width="6.1796875" style="2" customWidth="1"/>
    <col min="8206" max="8206" width="8.7265625" style="2" customWidth="1"/>
    <col min="8207" max="8446" width="9.1796875" style="2"/>
    <col min="8447" max="8447" width="13.453125" style="2" customWidth="1"/>
    <col min="8448" max="8448" width="9.1796875" style="2"/>
    <col min="8449" max="8449" width="17" style="2" customWidth="1"/>
    <col min="8450" max="8450" width="7.54296875" style="2" customWidth="1"/>
    <col min="8451" max="8451" width="9.1796875" style="2"/>
    <col min="8452" max="8452" width="9.1796875" style="2" customWidth="1"/>
    <col min="8453" max="8453" width="9.1796875" style="2"/>
    <col min="8454" max="8454" width="8.7265625" style="2" customWidth="1"/>
    <col min="8455" max="8455" width="7.453125" style="2" customWidth="1"/>
    <col min="8456" max="8456" width="7.54296875" style="2" customWidth="1"/>
    <col min="8457" max="8457" width="9.1796875" style="2" customWidth="1"/>
    <col min="8458" max="8458" width="9.1796875" style="2"/>
    <col min="8459" max="8459" width="10" style="2" customWidth="1"/>
    <col min="8460" max="8460" width="7.81640625" style="2" customWidth="1"/>
    <col min="8461" max="8461" width="6.1796875" style="2" customWidth="1"/>
    <col min="8462" max="8462" width="8.7265625" style="2" customWidth="1"/>
    <col min="8463" max="8702" width="9.1796875" style="2"/>
    <col min="8703" max="8703" width="13.453125" style="2" customWidth="1"/>
    <col min="8704" max="8704" width="9.1796875" style="2"/>
    <col min="8705" max="8705" width="17" style="2" customWidth="1"/>
    <col min="8706" max="8706" width="7.54296875" style="2" customWidth="1"/>
    <col min="8707" max="8707" width="9.1796875" style="2"/>
    <col min="8708" max="8708" width="9.1796875" style="2" customWidth="1"/>
    <col min="8709" max="8709" width="9.1796875" style="2"/>
    <col min="8710" max="8710" width="8.7265625" style="2" customWidth="1"/>
    <col min="8711" max="8711" width="7.453125" style="2" customWidth="1"/>
    <col min="8712" max="8712" width="7.54296875" style="2" customWidth="1"/>
    <col min="8713" max="8713" width="9.1796875" style="2" customWidth="1"/>
    <col min="8714" max="8714" width="9.1796875" style="2"/>
    <col min="8715" max="8715" width="10" style="2" customWidth="1"/>
    <col min="8716" max="8716" width="7.81640625" style="2" customWidth="1"/>
    <col min="8717" max="8717" width="6.1796875" style="2" customWidth="1"/>
    <col min="8718" max="8718" width="8.7265625" style="2" customWidth="1"/>
    <col min="8719" max="8958" width="9.1796875" style="2"/>
    <col min="8959" max="8959" width="13.453125" style="2" customWidth="1"/>
    <col min="8960" max="8960" width="9.1796875" style="2"/>
    <col min="8961" max="8961" width="17" style="2" customWidth="1"/>
    <col min="8962" max="8962" width="7.54296875" style="2" customWidth="1"/>
    <col min="8963" max="8963" width="9.1796875" style="2"/>
    <col min="8964" max="8964" width="9.1796875" style="2" customWidth="1"/>
    <col min="8965" max="8965" width="9.1796875" style="2"/>
    <col min="8966" max="8966" width="8.7265625" style="2" customWidth="1"/>
    <col min="8967" max="8967" width="7.453125" style="2" customWidth="1"/>
    <col min="8968" max="8968" width="7.54296875" style="2" customWidth="1"/>
    <col min="8969" max="8969" width="9.1796875" style="2" customWidth="1"/>
    <col min="8970" max="8970" width="9.1796875" style="2"/>
    <col min="8971" max="8971" width="10" style="2" customWidth="1"/>
    <col min="8972" max="8972" width="7.81640625" style="2" customWidth="1"/>
    <col min="8973" max="8973" width="6.1796875" style="2" customWidth="1"/>
    <col min="8974" max="8974" width="8.7265625" style="2" customWidth="1"/>
    <col min="8975" max="9214" width="9.1796875" style="2"/>
    <col min="9215" max="9215" width="13.453125" style="2" customWidth="1"/>
    <col min="9216" max="9216" width="9.1796875" style="2"/>
    <col min="9217" max="9217" width="17" style="2" customWidth="1"/>
    <col min="9218" max="9218" width="7.54296875" style="2" customWidth="1"/>
    <col min="9219" max="9219" width="9.1796875" style="2"/>
    <col min="9220" max="9220" width="9.1796875" style="2" customWidth="1"/>
    <col min="9221" max="9221" width="9.1796875" style="2"/>
    <col min="9222" max="9222" width="8.7265625" style="2" customWidth="1"/>
    <col min="9223" max="9223" width="7.453125" style="2" customWidth="1"/>
    <col min="9224" max="9224" width="7.54296875" style="2" customWidth="1"/>
    <col min="9225" max="9225" width="9.1796875" style="2" customWidth="1"/>
    <col min="9226" max="9226" width="9.1796875" style="2"/>
    <col min="9227" max="9227" width="10" style="2" customWidth="1"/>
    <col min="9228" max="9228" width="7.81640625" style="2" customWidth="1"/>
    <col min="9229" max="9229" width="6.1796875" style="2" customWidth="1"/>
    <col min="9230" max="9230" width="8.7265625" style="2" customWidth="1"/>
    <col min="9231" max="9470" width="9.1796875" style="2"/>
    <col min="9471" max="9471" width="13.453125" style="2" customWidth="1"/>
    <col min="9472" max="9472" width="9.1796875" style="2"/>
    <col min="9473" max="9473" width="17" style="2" customWidth="1"/>
    <col min="9474" max="9474" width="7.54296875" style="2" customWidth="1"/>
    <col min="9475" max="9475" width="9.1796875" style="2"/>
    <col min="9476" max="9476" width="9.1796875" style="2" customWidth="1"/>
    <col min="9477" max="9477" width="9.1796875" style="2"/>
    <col min="9478" max="9478" width="8.7265625" style="2" customWidth="1"/>
    <col min="9479" max="9479" width="7.453125" style="2" customWidth="1"/>
    <col min="9480" max="9480" width="7.54296875" style="2" customWidth="1"/>
    <col min="9481" max="9481" width="9.1796875" style="2" customWidth="1"/>
    <col min="9482" max="9482" width="9.1796875" style="2"/>
    <col min="9483" max="9483" width="10" style="2" customWidth="1"/>
    <col min="9484" max="9484" width="7.81640625" style="2" customWidth="1"/>
    <col min="9485" max="9485" width="6.1796875" style="2" customWidth="1"/>
    <col min="9486" max="9486" width="8.7265625" style="2" customWidth="1"/>
    <col min="9487" max="9726" width="9.1796875" style="2"/>
    <col min="9727" max="9727" width="13.453125" style="2" customWidth="1"/>
    <col min="9728" max="9728" width="9.1796875" style="2"/>
    <col min="9729" max="9729" width="17" style="2" customWidth="1"/>
    <col min="9730" max="9730" width="7.54296875" style="2" customWidth="1"/>
    <col min="9731" max="9731" width="9.1796875" style="2"/>
    <col min="9732" max="9732" width="9.1796875" style="2" customWidth="1"/>
    <col min="9733" max="9733" width="9.1796875" style="2"/>
    <col min="9734" max="9734" width="8.7265625" style="2" customWidth="1"/>
    <col min="9735" max="9735" width="7.453125" style="2" customWidth="1"/>
    <col min="9736" max="9736" width="7.54296875" style="2" customWidth="1"/>
    <col min="9737" max="9737" width="9.1796875" style="2" customWidth="1"/>
    <col min="9738" max="9738" width="9.1796875" style="2"/>
    <col min="9739" max="9739" width="10" style="2" customWidth="1"/>
    <col min="9740" max="9740" width="7.81640625" style="2" customWidth="1"/>
    <col min="9741" max="9741" width="6.1796875" style="2" customWidth="1"/>
    <col min="9742" max="9742" width="8.7265625" style="2" customWidth="1"/>
    <col min="9743" max="9982" width="9.1796875" style="2"/>
    <col min="9983" max="9983" width="13.453125" style="2" customWidth="1"/>
    <col min="9984" max="9984" width="9.1796875" style="2"/>
    <col min="9985" max="9985" width="17" style="2" customWidth="1"/>
    <col min="9986" max="9986" width="7.54296875" style="2" customWidth="1"/>
    <col min="9987" max="9987" width="9.1796875" style="2"/>
    <col min="9988" max="9988" width="9.1796875" style="2" customWidth="1"/>
    <col min="9989" max="9989" width="9.1796875" style="2"/>
    <col min="9990" max="9990" width="8.7265625" style="2" customWidth="1"/>
    <col min="9991" max="9991" width="7.453125" style="2" customWidth="1"/>
    <col min="9992" max="9992" width="7.54296875" style="2" customWidth="1"/>
    <col min="9993" max="9993" width="9.1796875" style="2" customWidth="1"/>
    <col min="9994" max="9994" width="9.1796875" style="2"/>
    <col min="9995" max="9995" width="10" style="2" customWidth="1"/>
    <col min="9996" max="9996" width="7.81640625" style="2" customWidth="1"/>
    <col min="9997" max="9997" width="6.1796875" style="2" customWidth="1"/>
    <col min="9998" max="9998" width="8.7265625" style="2" customWidth="1"/>
    <col min="9999" max="10238" width="9.1796875" style="2"/>
    <col min="10239" max="10239" width="13.453125" style="2" customWidth="1"/>
    <col min="10240" max="10240" width="9.1796875" style="2"/>
    <col min="10241" max="10241" width="17" style="2" customWidth="1"/>
    <col min="10242" max="10242" width="7.54296875" style="2" customWidth="1"/>
    <col min="10243" max="10243" width="9.1796875" style="2"/>
    <col min="10244" max="10244" width="9.1796875" style="2" customWidth="1"/>
    <col min="10245" max="10245" width="9.1796875" style="2"/>
    <col min="10246" max="10246" width="8.7265625" style="2" customWidth="1"/>
    <col min="10247" max="10247" width="7.453125" style="2" customWidth="1"/>
    <col min="10248" max="10248" width="7.54296875" style="2" customWidth="1"/>
    <col min="10249" max="10249" width="9.1796875" style="2" customWidth="1"/>
    <col min="10250" max="10250" width="9.1796875" style="2"/>
    <col min="10251" max="10251" width="10" style="2" customWidth="1"/>
    <col min="10252" max="10252" width="7.81640625" style="2" customWidth="1"/>
    <col min="10253" max="10253" width="6.1796875" style="2" customWidth="1"/>
    <col min="10254" max="10254" width="8.7265625" style="2" customWidth="1"/>
    <col min="10255" max="10494" width="9.1796875" style="2"/>
    <col min="10495" max="10495" width="13.453125" style="2" customWidth="1"/>
    <col min="10496" max="10496" width="9.1796875" style="2"/>
    <col min="10497" max="10497" width="17" style="2" customWidth="1"/>
    <col min="10498" max="10498" width="7.54296875" style="2" customWidth="1"/>
    <col min="10499" max="10499" width="9.1796875" style="2"/>
    <col min="10500" max="10500" width="9.1796875" style="2" customWidth="1"/>
    <col min="10501" max="10501" width="9.1796875" style="2"/>
    <col min="10502" max="10502" width="8.7265625" style="2" customWidth="1"/>
    <col min="10503" max="10503" width="7.453125" style="2" customWidth="1"/>
    <col min="10504" max="10504" width="7.54296875" style="2" customWidth="1"/>
    <col min="10505" max="10505" width="9.1796875" style="2" customWidth="1"/>
    <col min="10506" max="10506" width="9.1796875" style="2"/>
    <col min="10507" max="10507" width="10" style="2" customWidth="1"/>
    <col min="10508" max="10508" width="7.81640625" style="2" customWidth="1"/>
    <col min="10509" max="10509" width="6.1796875" style="2" customWidth="1"/>
    <col min="10510" max="10510" width="8.7265625" style="2" customWidth="1"/>
    <col min="10511" max="10750" width="9.1796875" style="2"/>
    <col min="10751" max="10751" width="13.453125" style="2" customWidth="1"/>
    <col min="10752" max="10752" width="9.1796875" style="2"/>
    <col min="10753" max="10753" width="17" style="2" customWidth="1"/>
    <col min="10754" max="10754" width="7.54296875" style="2" customWidth="1"/>
    <col min="10755" max="10755" width="9.1796875" style="2"/>
    <col min="10756" max="10756" width="9.1796875" style="2" customWidth="1"/>
    <col min="10757" max="10757" width="9.1796875" style="2"/>
    <col min="10758" max="10758" width="8.7265625" style="2" customWidth="1"/>
    <col min="10759" max="10759" width="7.453125" style="2" customWidth="1"/>
    <col min="10760" max="10760" width="7.54296875" style="2" customWidth="1"/>
    <col min="10761" max="10761" width="9.1796875" style="2" customWidth="1"/>
    <col min="10762" max="10762" width="9.1796875" style="2"/>
    <col min="10763" max="10763" width="10" style="2" customWidth="1"/>
    <col min="10764" max="10764" width="7.81640625" style="2" customWidth="1"/>
    <col min="10765" max="10765" width="6.1796875" style="2" customWidth="1"/>
    <col min="10766" max="10766" width="8.7265625" style="2" customWidth="1"/>
    <col min="10767" max="11006" width="9.1796875" style="2"/>
    <col min="11007" max="11007" width="13.453125" style="2" customWidth="1"/>
    <col min="11008" max="11008" width="9.1796875" style="2"/>
    <col min="11009" max="11009" width="17" style="2" customWidth="1"/>
    <col min="11010" max="11010" width="7.54296875" style="2" customWidth="1"/>
    <col min="11011" max="11011" width="9.1796875" style="2"/>
    <col min="11012" max="11012" width="9.1796875" style="2" customWidth="1"/>
    <col min="11013" max="11013" width="9.1796875" style="2"/>
    <col min="11014" max="11014" width="8.7265625" style="2" customWidth="1"/>
    <col min="11015" max="11015" width="7.453125" style="2" customWidth="1"/>
    <col min="11016" max="11016" width="7.54296875" style="2" customWidth="1"/>
    <col min="11017" max="11017" width="9.1796875" style="2" customWidth="1"/>
    <col min="11018" max="11018" width="9.1796875" style="2"/>
    <col min="11019" max="11019" width="10" style="2" customWidth="1"/>
    <col min="11020" max="11020" width="7.81640625" style="2" customWidth="1"/>
    <col min="11021" max="11021" width="6.1796875" style="2" customWidth="1"/>
    <col min="11022" max="11022" width="8.7265625" style="2" customWidth="1"/>
    <col min="11023" max="11262" width="9.1796875" style="2"/>
    <col min="11263" max="11263" width="13.453125" style="2" customWidth="1"/>
    <col min="11264" max="11264" width="9.1796875" style="2"/>
    <col min="11265" max="11265" width="17" style="2" customWidth="1"/>
    <col min="11266" max="11266" width="7.54296875" style="2" customWidth="1"/>
    <col min="11267" max="11267" width="9.1796875" style="2"/>
    <col min="11268" max="11268" width="9.1796875" style="2" customWidth="1"/>
    <col min="11269" max="11269" width="9.1796875" style="2"/>
    <col min="11270" max="11270" width="8.7265625" style="2" customWidth="1"/>
    <col min="11271" max="11271" width="7.453125" style="2" customWidth="1"/>
    <col min="11272" max="11272" width="7.54296875" style="2" customWidth="1"/>
    <col min="11273" max="11273" width="9.1796875" style="2" customWidth="1"/>
    <col min="11274" max="11274" width="9.1796875" style="2"/>
    <col min="11275" max="11275" width="10" style="2" customWidth="1"/>
    <col min="11276" max="11276" width="7.81640625" style="2" customWidth="1"/>
    <col min="11277" max="11277" width="6.1796875" style="2" customWidth="1"/>
    <col min="11278" max="11278" width="8.7265625" style="2" customWidth="1"/>
    <col min="11279" max="11518" width="9.1796875" style="2"/>
    <col min="11519" max="11519" width="13.453125" style="2" customWidth="1"/>
    <col min="11520" max="11520" width="9.1796875" style="2"/>
    <col min="11521" max="11521" width="17" style="2" customWidth="1"/>
    <col min="11522" max="11522" width="7.54296875" style="2" customWidth="1"/>
    <col min="11523" max="11523" width="9.1796875" style="2"/>
    <col min="11524" max="11524" width="9.1796875" style="2" customWidth="1"/>
    <col min="11525" max="11525" width="9.1796875" style="2"/>
    <col min="11526" max="11526" width="8.7265625" style="2" customWidth="1"/>
    <col min="11527" max="11527" width="7.453125" style="2" customWidth="1"/>
    <col min="11528" max="11528" width="7.54296875" style="2" customWidth="1"/>
    <col min="11529" max="11529" width="9.1796875" style="2" customWidth="1"/>
    <col min="11530" max="11530" width="9.1796875" style="2"/>
    <col min="11531" max="11531" width="10" style="2" customWidth="1"/>
    <col min="11532" max="11532" width="7.81640625" style="2" customWidth="1"/>
    <col min="11533" max="11533" width="6.1796875" style="2" customWidth="1"/>
    <col min="11534" max="11534" width="8.7265625" style="2" customWidth="1"/>
    <col min="11535" max="11774" width="9.1796875" style="2"/>
    <col min="11775" max="11775" width="13.453125" style="2" customWidth="1"/>
    <col min="11776" max="11776" width="9.1796875" style="2"/>
    <col min="11777" max="11777" width="17" style="2" customWidth="1"/>
    <col min="11778" max="11778" width="7.54296875" style="2" customWidth="1"/>
    <col min="11779" max="11779" width="9.1796875" style="2"/>
    <col min="11780" max="11780" width="9.1796875" style="2" customWidth="1"/>
    <col min="11781" max="11781" width="9.1796875" style="2"/>
    <col min="11782" max="11782" width="8.7265625" style="2" customWidth="1"/>
    <col min="11783" max="11783" width="7.453125" style="2" customWidth="1"/>
    <col min="11784" max="11784" width="7.54296875" style="2" customWidth="1"/>
    <col min="11785" max="11785" width="9.1796875" style="2" customWidth="1"/>
    <col min="11786" max="11786" width="9.1796875" style="2"/>
    <col min="11787" max="11787" width="10" style="2" customWidth="1"/>
    <col min="11788" max="11788" width="7.81640625" style="2" customWidth="1"/>
    <col min="11789" max="11789" width="6.1796875" style="2" customWidth="1"/>
    <col min="11790" max="11790" width="8.7265625" style="2" customWidth="1"/>
    <col min="11791" max="12030" width="9.1796875" style="2"/>
    <col min="12031" max="12031" width="13.453125" style="2" customWidth="1"/>
    <col min="12032" max="12032" width="9.1796875" style="2"/>
    <col min="12033" max="12033" width="17" style="2" customWidth="1"/>
    <col min="12034" max="12034" width="7.54296875" style="2" customWidth="1"/>
    <col min="12035" max="12035" width="9.1796875" style="2"/>
    <col min="12036" max="12036" width="9.1796875" style="2" customWidth="1"/>
    <col min="12037" max="12037" width="9.1796875" style="2"/>
    <col min="12038" max="12038" width="8.7265625" style="2" customWidth="1"/>
    <col min="12039" max="12039" width="7.453125" style="2" customWidth="1"/>
    <col min="12040" max="12040" width="7.54296875" style="2" customWidth="1"/>
    <col min="12041" max="12041" width="9.1796875" style="2" customWidth="1"/>
    <col min="12042" max="12042" width="9.1796875" style="2"/>
    <col min="12043" max="12043" width="10" style="2" customWidth="1"/>
    <col min="12044" max="12044" width="7.81640625" style="2" customWidth="1"/>
    <col min="12045" max="12045" width="6.1796875" style="2" customWidth="1"/>
    <col min="12046" max="12046" width="8.7265625" style="2" customWidth="1"/>
    <col min="12047" max="12286" width="9.1796875" style="2"/>
    <col min="12287" max="12287" width="13.453125" style="2" customWidth="1"/>
    <col min="12288" max="12288" width="9.1796875" style="2"/>
    <col min="12289" max="12289" width="17" style="2" customWidth="1"/>
    <col min="12290" max="12290" width="7.54296875" style="2" customWidth="1"/>
    <col min="12291" max="12291" width="9.1796875" style="2"/>
    <col min="12292" max="12292" width="9.1796875" style="2" customWidth="1"/>
    <col min="12293" max="12293" width="9.1796875" style="2"/>
    <col min="12294" max="12294" width="8.7265625" style="2" customWidth="1"/>
    <col min="12295" max="12295" width="7.453125" style="2" customWidth="1"/>
    <col min="12296" max="12296" width="7.54296875" style="2" customWidth="1"/>
    <col min="12297" max="12297" width="9.1796875" style="2" customWidth="1"/>
    <col min="12298" max="12298" width="9.1796875" style="2"/>
    <col min="12299" max="12299" width="10" style="2" customWidth="1"/>
    <col min="12300" max="12300" width="7.81640625" style="2" customWidth="1"/>
    <col min="12301" max="12301" width="6.1796875" style="2" customWidth="1"/>
    <col min="12302" max="12302" width="8.7265625" style="2" customWidth="1"/>
    <col min="12303" max="12542" width="9.1796875" style="2"/>
    <col min="12543" max="12543" width="13.453125" style="2" customWidth="1"/>
    <col min="12544" max="12544" width="9.1796875" style="2"/>
    <col min="12545" max="12545" width="17" style="2" customWidth="1"/>
    <col min="12546" max="12546" width="7.54296875" style="2" customWidth="1"/>
    <col min="12547" max="12547" width="9.1796875" style="2"/>
    <col min="12548" max="12548" width="9.1796875" style="2" customWidth="1"/>
    <col min="12549" max="12549" width="9.1796875" style="2"/>
    <col min="12550" max="12550" width="8.7265625" style="2" customWidth="1"/>
    <col min="12551" max="12551" width="7.453125" style="2" customWidth="1"/>
    <col min="12552" max="12552" width="7.54296875" style="2" customWidth="1"/>
    <col min="12553" max="12553" width="9.1796875" style="2" customWidth="1"/>
    <col min="12554" max="12554" width="9.1796875" style="2"/>
    <col min="12555" max="12555" width="10" style="2" customWidth="1"/>
    <col min="12556" max="12556" width="7.81640625" style="2" customWidth="1"/>
    <col min="12557" max="12557" width="6.1796875" style="2" customWidth="1"/>
    <col min="12558" max="12558" width="8.7265625" style="2" customWidth="1"/>
    <col min="12559" max="12798" width="9.1796875" style="2"/>
    <col min="12799" max="12799" width="13.453125" style="2" customWidth="1"/>
    <col min="12800" max="12800" width="9.1796875" style="2"/>
    <col min="12801" max="12801" width="17" style="2" customWidth="1"/>
    <col min="12802" max="12802" width="7.54296875" style="2" customWidth="1"/>
    <col min="12803" max="12803" width="9.1796875" style="2"/>
    <col min="12804" max="12804" width="9.1796875" style="2" customWidth="1"/>
    <col min="12805" max="12805" width="9.1796875" style="2"/>
    <col min="12806" max="12806" width="8.7265625" style="2" customWidth="1"/>
    <col min="12807" max="12807" width="7.453125" style="2" customWidth="1"/>
    <col min="12808" max="12808" width="7.54296875" style="2" customWidth="1"/>
    <col min="12809" max="12809" width="9.1796875" style="2" customWidth="1"/>
    <col min="12810" max="12810" width="9.1796875" style="2"/>
    <col min="12811" max="12811" width="10" style="2" customWidth="1"/>
    <col min="12812" max="12812" width="7.81640625" style="2" customWidth="1"/>
    <col min="12813" max="12813" width="6.1796875" style="2" customWidth="1"/>
    <col min="12814" max="12814" width="8.7265625" style="2" customWidth="1"/>
    <col min="12815" max="13054" width="9.1796875" style="2"/>
    <col min="13055" max="13055" width="13.453125" style="2" customWidth="1"/>
    <col min="13056" max="13056" width="9.1796875" style="2"/>
    <col min="13057" max="13057" width="17" style="2" customWidth="1"/>
    <col min="13058" max="13058" width="7.54296875" style="2" customWidth="1"/>
    <col min="13059" max="13059" width="9.1796875" style="2"/>
    <col min="13060" max="13060" width="9.1796875" style="2" customWidth="1"/>
    <col min="13061" max="13061" width="9.1796875" style="2"/>
    <col min="13062" max="13062" width="8.7265625" style="2" customWidth="1"/>
    <col min="13063" max="13063" width="7.453125" style="2" customWidth="1"/>
    <col min="13064" max="13064" width="7.54296875" style="2" customWidth="1"/>
    <col min="13065" max="13065" width="9.1796875" style="2" customWidth="1"/>
    <col min="13066" max="13066" width="9.1796875" style="2"/>
    <col min="13067" max="13067" width="10" style="2" customWidth="1"/>
    <col min="13068" max="13068" width="7.81640625" style="2" customWidth="1"/>
    <col min="13069" max="13069" width="6.1796875" style="2" customWidth="1"/>
    <col min="13070" max="13070" width="8.7265625" style="2" customWidth="1"/>
    <col min="13071" max="13310" width="9.1796875" style="2"/>
    <col min="13311" max="13311" width="13.453125" style="2" customWidth="1"/>
    <col min="13312" max="13312" width="9.1796875" style="2"/>
    <col min="13313" max="13313" width="17" style="2" customWidth="1"/>
    <col min="13314" max="13314" width="7.54296875" style="2" customWidth="1"/>
    <col min="13315" max="13315" width="9.1796875" style="2"/>
    <col min="13316" max="13316" width="9.1796875" style="2" customWidth="1"/>
    <col min="13317" max="13317" width="9.1796875" style="2"/>
    <col min="13318" max="13318" width="8.7265625" style="2" customWidth="1"/>
    <col min="13319" max="13319" width="7.453125" style="2" customWidth="1"/>
    <col min="13320" max="13320" width="7.54296875" style="2" customWidth="1"/>
    <col min="13321" max="13321" width="9.1796875" style="2" customWidth="1"/>
    <col min="13322" max="13322" width="9.1796875" style="2"/>
    <col min="13323" max="13323" width="10" style="2" customWidth="1"/>
    <col min="13324" max="13324" width="7.81640625" style="2" customWidth="1"/>
    <col min="13325" max="13325" width="6.1796875" style="2" customWidth="1"/>
    <col min="13326" max="13326" width="8.7265625" style="2" customWidth="1"/>
    <col min="13327" max="13566" width="9.1796875" style="2"/>
    <col min="13567" max="13567" width="13.453125" style="2" customWidth="1"/>
    <col min="13568" max="13568" width="9.1796875" style="2"/>
    <col min="13569" max="13569" width="17" style="2" customWidth="1"/>
    <col min="13570" max="13570" width="7.54296875" style="2" customWidth="1"/>
    <col min="13571" max="13571" width="9.1796875" style="2"/>
    <col min="13572" max="13572" width="9.1796875" style="2" customWidth="1"/>
    <col min="13573" max="13573" width="9.1796875" style="2"/>
    <col min="13574" max="13574" width="8.7265625" style="2" customWidth="1"/>
    <col min="13575" max="13575" width="7.453125" style="2" customWidth="1"/>
    <col min="13576" max="13576" width="7.54296875" style="2" customWidth="1"/>
    <col min="13577" max="13577" width="9.1796875" style="2" customWidth="1"/>
    <col min="13578" max="13578" width="9.1796875" style="2"/>
    <col min="13579" max="13579" width="10" style="2" customWidth="1"/>
    <col min="13580" max="13580" width="7.81640625" style="2" customWidth="1"/>
    <col min="13581" max="13581" width="6.1796875" style="2" customWidth="1"/>
    <col min="13582" max="13582" width="8.7265625" style="2" customWidth="1"/>
    <col min="13583" max="13822" width="9.1796875" style="2"/>
    <col min="13823" max="13823" width="13.453125" style="2" customWidth="1"/>
    <col min="13824" max="13824" width="9.1796875" style="2"/>
    <col min="13825" max="13825" width="17" style="2" customWidth="1"/>
    <col min="13826" max="13826" width="7.54296875" style="2" customWidth="1"/>
    <col min="13827" max="13827" width="9.1796875" style="2"/>
    <col min="13828" max="13828" width="9.1796875" style="2" customWidth="1"/>
    <col min="13829" max="13829" width="9.1796875" style="2"/>
    <col min="13830" max="13830" width="8.7265625" style="2" customWidth="1"/>
    <col min="13831" max="13831" width="7.453125" style="2" customWidth="1"/>
    <col min="13832" max="13832" width="7.54296875" style="2" customWidth="1"/>
    <col min="13833" max="13833" width="9.1796875" style="2" customWidth="1"/>
    <col min="13834" max="13834" width="9.1796875" style="2"/>
    <col min="13835" max="13835" width="10" style="2" customWidth="1"/>
    <col min="13836" max="13836" width="7.81640625" style="2" customWidth="1"/>
    <col min="13837" max="13837" width="6.1796875" style="2" customWidth="1"/>
    <col min="13838" max="13838" width="8.7265625" style="2" customWidth="1"/>
    <col min="13839" max="14078" width="9.1796875" style="2"/>
    <col min="14079" max="14079" width="13.453125" style="2" customWidth="1"/>
    <col min="14080" max="14080" width="9.1796875" style="2"/>
    <col min="14081" max="14081" width="17" style="2" customWidth="1"/>
    <col min="14082" max="14082" width="7.54296875" style="2" customWidth="1"/>
    <col min="14083" max="14083" width="9.1796875" style="2"/>
    <col min="14084" max="14084" width="9.1796875" style="2" customWidth="1"/>
    <col min="14085" max="14085" width="9.1796875" style="2"/>
    <col min="14086" max="14086" width="8.7265625" style="2" customWidth="1"/>
    <col min="14087" max="14087" width="7.453125" style="2" customWidth="1"/>
    <col min="14088" max="14088" width="7.54296875" style="2" customWidth="1"/>
    <col min="14089" max="14089" width="9.1796875" style="2" customWidth="1"/>
    <col min="14090" max="14090" width="9.1796875" style="2"/>
    <col min="14091" max="14091" width="10" style="2" customWidth="1"/>
    <col min="14092" max="14092" width="7.81640625" style="2" customWidth="1"/>
    <col min="14093" max="14093" width="6.1796875" style="2" customWidth="1"/>
    <col min="14094" max="14094" width="8.7265625" style="2" customWidth="1"/>
    <col min="14095" max="14334" width="9.1796875" style="2"/>
    <col min="14335" max="14335" width="13.453125" style="2" customWidth="1"/>
    <col min="14336" max="14336" width="9.1796875" style="2"/>
    <col min="14337" max="14337" width="17" style="2" customWidth="1"/>
    <col min="14338" max="14338" width="7.54296875" style="2" customWidth="1"/>
    <col min="14339" max="14339" width="9.1796875" style="2"/>
    <col min="14340" max="14340" width="9.1796875" style="2" customWidth="1"/>
    <col min="14341" max="14341" width="9.1796875" style="2"/>
    <col min="14342" max="14342" width="8.7265625" style="2" customWidth="1"/>
    <col min="14343" max="14343" width="7.453125" style="2" customWidth="1"/>
    <col min="14344" max="14344" width="7.54296875" style="2" customWidth="1"/>
    <col min="14345" max="14345" width="9.1796875" style="2" customWidth="1"/>
    <col min="14346" max="14346" width="9.1796875" style="2"/>
    <col min="14347" max="14347" width="10" style="2" customWidth="1"/>
    <col min="14348" max="14348" width="7.81640625" style="2" customWidth="1"/>
    <col min="14349" max="14349" width="6.1796875" style="2" customWidth="1"/>
    <col min="14350" max="14350" width="8.7265625" style="2" customWidth="1"/>
    <col min="14351" max="14590" width="9.1796875" style="2"/>
    <col min="14591" max="14591" width="13.453125" style="2" customWidth="1"/>
    <col min="14592" max="14592" width="9.1796875" style="2"/>
    <col min="14593" max="14593" width="17" style="2" customWidth="1"/>
    <col min="14594" max="14594" width="7.54296875" style="2" customWidth="1"/>
    <col min="14595" max="14595" width="9.1796875" style="2"/>
    <col min="14596" max="14596" width="9.1796875" style="2" customWidth="1"/>
    <col min="14597" max="14597" width="9.1796875" style="2"/>
    <col min="14598" max="14598" width="8.7265625" style="2" customWidth="1"/>
    <col min="14599" max="14599" width="7.453125" style="2" customWidth="1"/>
    <col min="14600" max="14600" width="7.54296875" style="2" customWidth="1"/>
    <col min="14601" max="14601" width="9.1796875" style="2" customWidth="1"/>
    <col min="14602" max="14602" width="9.1796875" style="2"/>
    <col min="14603" max="14603" width="10" style="2" customWidth="1"/>
    <col min="14604" max="14604" width="7.81640625" style="2" customWidth="1"/>
    <col min="14605" max="14605" width="6.1796875" style="2" customWidth="1"/>
    <col min="14606" max="14606" width="8.7265625" style="2" customWidth="1"/>
    <col min="14607" max="14846" width="9.1796875" style="2"/>
    <col min="14847" max="14847" width="13.453125" style="2" customWidth="1"/>
    <col min="14848" max="14848" width="9.1796875" style="2"/>
    <col min="14849" max="14849" width="17" style="2" customWidth="1"/>
    <col min="14850" max="14850" width="7.54296875" style="2" customWidth="1"/>
    <col min="14851" max="14851" width="9.1796875" style="2"/>
    <col min="14852" max="14852" width="9.1796875" style="2" customWidth="1"/>
    <col min="14853" max="14853" width="9.1796875" style="2"/>
    <col min="14854" max="14854" width="8.7265625" style="2" customWidth="1"/>
    <col min="14855" max="14855" width="7.453125" style="2" customWidth="1"/>
    <col min="14856" max="14856" width="7.54296875" style="2" customWidth="1"/>
    <col min="14857" max="14857" width="9.1796875" style="2" customWidth="1"/>
    <col min="14858" max="14858" width="9.1796875" style="2"/>
    <col min="14859" max="14859" width="10" style="2" customWidth="1"/>
    <col min="14860" max="14860" width="7.81640625" style="2" customWidth="1"/>
    <col min="14861" max="14861" width="6.1796875" style="2" customWidth="1"/>
    <col min="14862" max="14862" width="8.7265625" style="2" customWidth="1"/>
    <col min="14863" max="15102" width="9.1796875" style="2"/>
    <col min="15103" max="15103" width="13.453125" style="2" customWidth="1"/>
    <col min="15104" max="15104" width="9.1796875" style="2"/>
    <col min="15105" max="15105" width="17" style="2" customWidth="1"/>
    <col min="15106" max="15106" width="7.54296875" style="2" customWidth="1"/>
    <col min="15107" max="15107" width="9.1796875" style="2"/>
    <col min="15108" max="15108" width="9.1796875" style="2" customWidth="1"/>
    <col min="15109" max="15109" width="9.1796875" style="2"/>
    <col min="15110" max="15110" width="8.7265625" style="2" customWidth="1"/>
    <col min="15111" max="15111" width="7.453125" style="2" customWidth="1"/>
    <col min="15112" max="15112" width="7.54296875" style="2" customWidth="1"/>
    <col min="15113" max="15113" width="9.1796875" style="2" customWidth="1"/>
    <col min="15114" max="15114" width="9.1796875" style="2"/>
    <col min="15115" max="15115" width="10" style="2" customWidth="1"/>
    <col min="15116" max="15116" width="7.81640625" style="2" customWidth="1"/>
    <col min="15117" max="15117" width="6.1796875" style="2" customWidth="1"/>
    <col min="15118" max="15118" width="8.7265625" style="2" customWidth="1"/>
    <col min="15119" max="15358" width="9.1796875" style="2"/>
    <col min="15359" max="15359" width="13.453125" style="2" customWidth="1"/>
    <col min="15360" max="15360" width="9.1796875" style="2"/>
    <col min="15361" max="15361" width="17" style="2" customWidth="1"/>
    <col min="15362" max="15362" width="7.54296875" style="2" customWidth="1"/>
    <col min="15363" max="15363" width="9.1796875" style="2"/>
    <col min="15364" max="15364" width="9.1796875" style="2" customWidth="1"/>
    <col min="15365" max="15365" width="9.1796875" style="2"/>
    <col min="15366" max="15366" width="8.7265625" style="2" customWidth="1"/>
    <col min="15367" max="15367" width="7.453125" style="2" customWidth="1"/>
    <col min="15368" max="15368" width="7.54296875" style="2" customWidth="1"/>
    <col min="15369" max="15369" width="9.1796875" style="2" customWidth="1"/>
    <col min="15370" max="15370" width="9.1796875" style="2"/>
    <col min="15371" max="15371" width="10" style="2" customWidth="1"/>
    <col min="15372" max="15372" width="7.81640625" style="2" customWidth="1"/>
    <col min="15373" max="15373" width="6.1796875" style="2" customWidth="1"/>
    <col min="15374" max="15374" width="8.7265625" style="2" customWidth="1"/>
    <col min="15375" max="15614" width="9.1796875" style="2"/>
    <col min="15615" max="15615" width="13.453125" style="2" customWidth="1"/>
    <col min="15616" max="15616" width="9.1796875" style="2"/>
    <col min="15617" max="15617" width="17" style="2" customWidth="1"/>
    <col min="15618" max="15618" width="7.54296875" style="2" customWidth="1"/>
    <col min="15619" max="15619" width="9.1796875" style="2"/>
    <col min="15620" max="15620" width="9.1796875" style="2" customWidth="1"/>
    <col min="15621" max="15621" width="9.1796875" style="2"/>
    <col min="15622" max="15622" width="8.7265625" style="2" customWidth="1"/>
    <col min="15623" max="15623" width="7.453125" style="2" customWidth="1"/>
    <col min="15624" max="15624" width="7.54296875" style="2" customWidth="1"/>
    <col min="15625" max="15625" width="9.1796875" style="2" customWidth="1"/>
    <col min="15626" max="15626" width="9.1796875" style="2"/>
    <col min="15627" max="15627" width="10" style="2" customWidth="1"/>
    <col min="15628" max="15628" width="7.81640625" style="2" customWidth="1"/>
    <col min="15629" max="15629" width="6.1796875" style="2" customWidth="1"/>
    <col min="15630" max="15630" width="8.7265625" style="2" customWidth="1"/>
    <col min="15631" max="15870" width="9.1796875" style="2"/>
    <col min="15871" max="15871" width="13.453125" style="2" customWidth="1"/>
    <col min="15872" max="15872" width="9.1796875" style="2"/>
    <col min="15873" max="15873" width="17" style="2" customWidth="1"/>
    <col min="15874" max="15874" width="7.54296875" style="2" customWidth="1"/>
    <col min="15875" max="15875" width="9.1796875" style="2"/>
    <col min="15876" max="15876" width="9.1796875" style="2" customWidth="1"/>
    <col min="15877" max="15877" width="9.1796875" style="2"/>
    <col min="15878" max="15878" width="8.7265625" style="2" customWidth="1"/>
    <col min="15879" max="15879" width="7.453125" style="2" customWidth="1"/>
    <col min="15880" max="15880" width="7.54296875" style="2" customWidth="1"/>
    <col min="15881" max="15881" width="9.1796875" style="2" customWidth="1"/>
    <col min="15882" max="15882" width="9.1796875" style="2"/>
    <col min="15883" max="15883" width="10" style="2" customWidth="1"/>
    <col min="15884" max="15884" width="7.81640625" style="2" customWidth="1"/>
    <col min="15885" max="15885" width="6.1796875" style="2" customWidth="1"/>
    <col min="15886" max="15886" width="8.7265625" style="2" customWidth="1"/>
    <col min="15887" max="16126" width="9.1796875" style="2"/>
    <col min="16127" max="16127" width="13.453125" style="2" customWidth="1"/>
    <col min="16128" max="16128" width="9.1796875" style="2"/>
    <col min="16129" max="16129" width="17" style="2" customWidth="1"/>
    <col min="16130" max="16130" width="7.54296875" style="2" customWidth="1"/>
    <col min="16131" max="16131" width="9.1796875" style="2"/>
    <col min="16132" max="16132" width="9.1796875" style="2" customWidth="1"/>
    <col min="16133" max="16133" width="9.1796875" style="2"/>
    <col min="16134" max="16134" width="8.7265625" style="2" customWidth="1"/>
    <col min="16135" max="16135" width="7.453125" style="2" customWidth="1"/>
    <col min="16136" max="16136" width="7.54296875" style="2" customWidth="1"/>
    <col min="16137" max="16137" width="9.1796875" style="2" customWidth="1"/>
    <col min="16138" max="16138" width="9.1796875" style="2"/>
    <col min="16139" max="16139" width="10" style="2" customWidth="1"/>
    <col min="16140" max="16140" width="7.81640625" style="2" customWidth="1"/>
    <col min="16141" max="16141" width="6.1796875" style="2" customWidth="1"/>
    <col min="16142" max="16142" width="8.7265625" style="2" customWidth="1"/>
    <col min="16143" max="16384" width="9.1796875" style="2"/>
  </cols>
  <sheetData>
    <row r="1" spans="1:11" x14ac:dyDescent="0.25">
      <c r="A1" s="860" t="s">
        <v>119</v>
      </c>
      <c r="B1" s="861"/>
      <c r="C1" s="861"/>
      <c r="D1" s="861"/>
      <c r="E1" s="861"/>
      <c r="F1" s="861"/>
      <c r="G1" s="861"/>
      <c r="H1" s="861"/>
      <c r="I1" s="861"/>
      <c r="J1" s="861"/>
      <c r="K1" s="862"/>
    </row>
    <row r="2" spans="1:11" x14ac:dyDescent="0.25">
      <c r="A2" s="863"/>
      <c r="B2" s="864"/>
      <c r="C2" s="864"/>
      <c r="D2" s="864"/>
      <c r="E2" s="864"/>
      <c r="F2" s="864"/>
      <c r="G2" s="864"/>
      <c r="H2" s="864"/>
      <c r="I2" s="864"/>
      <c r="J2" s="864"/>
      <c r="K2" s="865"/>
    </row>
    <row r="3" spans="1:11" ht="13.5" thickBot="1" x14ac:dyDescent="0.3">
      <c r="A3" s="275"/>
      <c r="B3" s="273"/>
      <c r="C3" s="273"/>
      <c r="D3" s="273"/>
      <c r="E3" s="273"/>
      <c r="F3" s="273"/>
      <c r="G3" s="273"/>
      <c r="H3" s="273"/>
      <c r="I3" s="273"/>
      <c r="J3" s="273"/>
      <c r="K3" s="276"/>
    </row>
    <row r="4" spans="1:11" ht="13" x14ac:dyDescent="0.3">
      <c r="A4" s="277" t="str">
        <f>ID!C33</f>
        <v>Konsentrasi Oksigen (%)</v>
      </c>
      <c r="B4" s="49"/>
      <c r="C4" s="185">
        <f>ID!D33</f>
        <v>21</v>
      </c>
      <c r="D4" s="50" t="s">
        <v>120</v>
      </c>
      <c r="E4" s="51"/>
      <c r="F4" s="51"/>
      <c r="G4" s="51"/>
      <c r="H4" s="51"/>
      <c r="I4" s="51"/>
      <c r="J4" s="51"/>
      <c r="K4" s="278"/>
    </row>
    <row r="5" spans="1:11" ht="14" x14ac:dyDescent="0.3">
      <c r="A5" s="279" t="s">
        <v>121</v>
      </c>
      <c r="B5" s="5" t="s">
        <v>122</v>
      </c>
      <c r="C5" s="6" t="s">
        <v>123</v>
      </c>
      <c r="D5" s="5" t="s">
        <v>124</v>
      </c>
      <c r="E5" s="7" t="s">
        <v>125</v>
      </c>
      <c r="F5" s="5" t="s">
        <v>126</v>
      </c>
      <c r="G5" s="6" t="s">
        <v>127</v>
      </c>
      <c r="H5" s="5" t="s">
        <v>128</v>
      </c>
      <c r="I5" s="6" t="s">
        <v>129</v>
      </c>
      <c r="J5" s="5" t="s">
        <v>130</v>
      </c>
      <c r="K5" s="280" t="s">
        <v>131</v>
      </c>
    </row>
    <row r="6" spans="1:11" ht="13" x14ac:dyDescent="0.3">
      <c r="A6" s="281" t="s">
        <v>132</v>
      </c>
      <c r="B6" s="8" t="str">
        <f>D4</f>
        <v>%</v>
      </c>
      <c r="C6" s="9" t="s">
        <v>133</v>
      </c>
      <c r="D6" s="10">
        <f>'DB MAXTEC'!C4</f>
        <v>0</v>
      </c>
      <c r="E6" s="11">
        <f>SQRT(5)</f>
        <v>2.2360679774997898</v>
      </c>
      <c r="F6" s="8">
        <v>4</v>
      </c>
      <c r="G6" s="282">
        <f>D6/E6</f>
        <v>0</v>
      </c>
      <c r="H6" s="12">
        <v>1</v>
      </c>
      <c r="I6" s="282">
        <f>G6*H6</f>
        <v>0</v>
      </c>
      <c r="J6" s="13">
        <f>I6^2</f>
        <v>0</v>
      </c>
      <c r="K6" s="283">
        <f>I6^4/F6</f>
        <v>0</v>
      </c>
    </row>
    <row r="7" spans="1:11" ht="13" x14ac:dyDescent="0.3">
      <c r="A7" s="284" t="s">
        <v>134</v>
      </c>
      <c r="B7" s="8" t="str">
        <f>D4</f>
        <v>%</v>
      </c>
      <c r="C7" s="14" t="s">
        <v>135</v>
      </c>
      <c r="D7" s="15">
        <f>'DB MAXTEC'!G4</f>
        <v>0.5</v>
      </c>
      <c r="E7" s="16">
        <f>SQRT(3)</f>
        <v>1.7320508075688772</v>
      </c>
      <c r="F7" s="8">
        <f>1/2*(100/10)^2</f>
        <v>50</v>
      </c>
      <c r="G7" s="17">
        <f>D7/E7</f>
        <v>0.28867513459481292</v>
      </c>
      <c r="H7" s="8">
        <v>1</v>
      </c>
      <c r="I7" s="17">
        <f>G7*H7</f>
        <v>0.28867513459481292</v>
      </c>
      <c r="J7" s="18">
        <f>I7^2</f>
        <v>8.3333333333333356E-2</v>
      </c>
      <c r="K7" s="285">
        <f>I7^4/F7</f>
        <v>1.3888888888888897E-4</v>
      </c>
    </row>
    <row r="8" spans="1:11" ht="13" x14ac:dyDescent="0.3">
      <c r="A8" s="284" t="s">
        <v>136</v>
      </c>
      <c r="B8" s="8" t="str">
        <f>D4</f>
        <v>%</v>
      </c>
      <c r="C8" s="14" t="s">
        <v>135</v>
      </c>
      <c r="D8" s="15">
        <f>'DB MAXTEC'!H4</f>
        <v>0.05</v>
      </c>
      <c r="E8" s="16">
        <f>SQRT(3)</f>
        <v>1.7320508075688772</v>
      </c>
      <c r="F8" s="8">
        <f>1/2*(100/10)^2</f>
        <v>50</v>
      </c>
      <c r="G8" s="17">
        <f>D8/E8</f>
        <v>2.8867513459481291E-2</v>
      </c>
      <c r="H8" s="8">
        <v>1</v>
      </c>
      <c r="I8" s="17">
        <f>G8*H8</f>
        <v>2.8867513459481291E-2</v>
      </c>
      <c r="J8" s="18">
        <f>I8^2</f>
        <v>8.333333333333335E-4</v>
      </c>
      <c r="K8" s="285">
        <f>I8^4/F8</f>
        <v>1.3888888888888894E-8</v>
      </c>
    </row>
    <row r="9" spans="1:11" ht="13" x14ac:dyDescent="0.3">
      <c r="A9" s="281" t="s">
        <v>137</v>
      </c>
      <c r="B9" s="8" t="str">
        <f>D4</f>
        <v>%</v>
      </c>
      <c r="C9" s="8" t="s">
        <v>135</v>
      </c>
      <c r="D9" s="19">
        <v>0</v>
      </c>
      <c r="E9" s="20">
        <f>SQRT(3)</f>
        <v>1.7320508075688772</v>
      </c>
      <c r="F9" s="8">
        <f>1/2*(100/10)^2</f>
        <v>50</v>
      </c>
      <c r="G9" s="21">
        <f>D9/E9</f>
        <v>0</v>
      </c>
      <c r="H9" s="8">
        <v>1</v>
      </c>
      <c r="I9" s="21">
        <f>G9*H9</f>
        <v>0</v>
      </c>
      <c r="J9" s="18">
        <f>I9^2</f>
        <v>0</v>
      </c>
      <c r="K9" s="18">
        <f>I9^4/F9</f>
        <v>0</v>
      </c>
    </row>
    <row r="10" spans="1:11" ht="13" x14ac:dyDescent="0.3">
      <c r="A10" s="286" t="s">
        <v>138</v>
      </c>
      <c r="B10" s="8" t="str">
        <f>D4</f>
        <v>%</v>
      </c>
      <c r="C10" s="14" t="s">
        <v>133</v>
      </c>
      <c r="D10" s="22">
        <v>0</v>
      </c>
      <c r="E10" s="23">
        <v>2</v>
      </c>
      <c r="F10" s="8">
        <f>1/2*(100/10)^2</f>
        <v>50</v>
      </c>
      <c r="G10" s="17">
        <f>D10/E10</f>
        <v>0</v>
      </c>
      <c r="H10" s="8">
        <v>1</v>
      </c>
      <c r="I10" s="17">
        <f>G10*H10</f>
        <v>0</v>
      </c>
      <c r="J10" s="18">
        <f>I10^2</f>
        <v>0</v>
      </c>
      <c r="K10" s="18">
        <f>I10^4/F10</f>
        <v>0</v>
      </c>
    </row>
    <row r="11" spans="1:11" ht="13" x14ac:dyDescent="0.3">
      <c r="A11" s="286"/>
      <c r="B11" s="8"/>
      <c r="C11" s="8"/>
      <c r="D11" s="8"/>
      <c r="E11" s="20"/>
      <c r="F11" s="8"/>
      <c r="G11" s="21"/>
      <c r="H11" s="8"/>
      <c r="I11" s="21"/>
      <c r="J11" s="18"/>
      <c r="K11" s="18"/>
    </row>
    <row r="12" spans="1:11" ht="14" x14ac:dyDescent="0.3">
      <c r="A12" s="287" t="s">
        <v>139</v>
      </c>
      <c r="B12" s="24"/>
      <c r="C12" s="24"/>
      <c r="D12" s="24"/>
      <c r="E12" s="25"/>
      <c r="F12" s="24"/>
      <c r="G12" s="24"/>
      <c r="H12" s="24"/>
      <c r="I12" s="24"/>
      <c r="J12" s="26">
        <f>SUM(J6:J10)</f>
        <v>8.4166666666666695E-2</v>
      </c>
      <c r="K12" s="13">
        <f>SUM(K6:K10)</f>
        <v>1.3890277777777786E-4</v>
      </c>
    </row>
    <row r="13" spans="1:11" ht="17" x14ac:dyDescent="0.45">
      <c r="A13" s="288" t="s">
        <v>140</v>
      </c>
      <c r="B13" s="27"/>
      <c r="C13" s="27"/>
      <c r="D13" s="27"/>
      <c r="E13" s="28"/>
      <c r="F13" s="27"/>
      <c r="G13" s="29" t="s">
        <v>141</v>
      </c>
      <c r="H13" s="27"/>
      <c r="I13" s="27"/>
      <c r="J13" s="30">
        <f>SQRT(J12)</f>
        <v>0.2901149197588202</v>
      </c>
      <c r="K13" s="289"/>
    </row>
    <row r="14" spans="1:11" ht="17.5" x14ac:dyDescent="0.45">
      <c r="A14" s="287" t="s">
        <v>142</v>
      </c>
      <c r="B14" s="31"/>
      <c r="C14" s="31"/>
      <c r="D14" s="31"/>
      <c r="E14" s="32"/>
      <c r="F14" s="31"/>
      <c r="G14" s="290" t="s">
        <v>143</v>
      </c>
      <c r="H14" s="31"/>
      <c r="I14" s="31"/>
      <c r="J14" s="26">
        <f>J13^4/(K12)</f>
        <v>50.999900009998989</v>
      </c>
      <c r="K14" s="291"/>
    </row>
    <row r="15" spans="1:11" ht="15.5" x14ac:dyDescent="0.35">
      <c r="A15" s="288" t="s">
        <v>144</v>
      </c>
      <c r="B15" s="27"/>
      <c r="C15" s="27"/>
      <c r="D15" s="27"/>
      <c r="E15" s="28"/>
      <c r="F15" s="27"/>
      <c r="G15" s="33" t="s">
        <v>145</v>
      </c>
      <c r="H15" s="27"/>
      <c r="I15" s="27"/>
      <c r="J15" s="34">
        <f>1.95996+(2.37356/J14)+(2.818745/J14^2)+(2.546662/J14^3)+(1.761829/J14^4)+(0.245458/J14^5)+(1.000764/J14^6)</f>
        <v>2.007603663051889</v>
      </c>
      <c r="K15" s="289"/>
    </row>
    <row r="16" spans="1:11" ht="14" x14ac:dyDescent="0.3">
      <c r="A16" s="288" t="s">
        <v>146</v>
      </c>
      <c r="B16" s="35"/>
      <c r="C16" s="35"/>
      <c r="D16" s="35"/>
      <c r="E16" s="36"/>
      <c r="F16" s="35"/>
      <c r="G16" s="37" t="s">
        <v>147</v>
      </c>
      <c r="H16" s="35"/>
      <c r="I16" s="35"/>
      <c r="J16" s="236">
        <f>J13*J15</f>
        <v>0.58243577561381232</v>
      </c>
      <c r="K16" s="292" t="str">
        <f>D4</f>
        <v>%</v>
      </c>
    </row>
    <row r="17" spans="1:11" x14ac:dyDescent="0.25">
      <c r="A17" s="293"/>
      <c r="K17" s="294"/>
    </row>
    <row r="18" spans="1:11" ht="13" x14ac:dyDescent="0.3">
      <c r="A18" s="295" t="str">
        <f>ID!C33</f>
        <v>Konsentrasi Oksigen (%)</v>
      </c>
      <c r="B18" s="3"/>
      <c r="C18" s="186">
        <f>ID!D34</f>
        <v>60</v>
      </c>
      <c r="D18" s="4" t="s">
        <v>120</v>
      </c>
      <c r="E18" s="274"/>
      <c r="F18" s="274"/>
      <c r="G18" s="274"/>
      <c r="H18" s="274"/>
      <c r="I18" s="274"/>
      <c r="J18" s="274"/>
      <c r="K18" s="296"/>
    </row>
    <row r="19" spans="1:11" ht="14" x14ac:dyDescent="0.3">
      <c r="A19" s="279" t="s">
        <v>121</v>
      </c>
      <c r="B19" s="5" t="s">
        <v>122</v>
      </c>
      <c r="C19" s="6" t="s">
        <v>123</v>
      </c>
      <c r="D19" s="5" t="s">
        <v>124</v>
      </c>
      <c r="E19" s="7" t="s">
        <v>125</v>
      </c>
      <c r="F19" s="5" t="s">
        <v>126</v>
      </c>
      <c r="G19" s="6" t="s">
        <v>127</v>
      </c>
      <c r="H19" s="5" t="s">
        <v>128</v>
      </c>
      <c r="I19" s="6" t="s">
        <v>129</v>
      </c>
      <c r="J19" s="5" t="s">
        <v>130</v>
      </c>
      <c r="K19" s="280" t="s">
        <v>131</v>
      </c>
    </row>
    <row r="20" spans="1:11" ht="13" x14ac:dyDescent="0.3">
      <c r="A20" s="281" t="s">
        <v>132</v>
      </c>
      <c r="B20" s="8" t="str">
        <f>D18</f>
        <v>%</v>
      </c>
      <c r="C20" s="9" t="s">
        <v>133</v>
      </c>
      <c r="D20" s="10">
        <f>'DB MAXTEC'!C5</f>
        <v>0</v>
      </c>
      <c r="E20" s="11">
        <f>SQRT(5)</f>
        <v>2.2360679774997898</v>
      </c>
      <c r="F20" s="8">
        <v>4</v>
      </c>
      <c r="G20" s="282">
        <f>D20/E20</f>
        <v>0</v>
      </c>
      <c r="H20" s="12">
        <v>1</v>
      </c>
      <c r="I20" s="282">
        <f>G20*H20</f>
        <v>0</v>
      </c>
      <c r="J20" s="13">
        <f>I20^2</f>
        <v>0</v>
      </c>
      <c r="K20" s="283">
        <f>I20^4/F20</f>
        <v>0</v>
      </c>
    </row>
    <row r="21" spans="1:11" ht="13" x14ac:dyDescent="0.3">
      <c r="A21" s="284" t="s">
        <v>134</v>
      </c>
      <c r="B21" s="8" t="str">
        <f>D18</f>
        <v>%</v>
      </c>
      <c r="C21" s="14" t="s">
        <v>135</v>
      </c>
      <c r="D21" s="15">
        <f>'DB MAXTEC'!G4</f>
        <v>0.5</v>
      </c>
      <c r="E21" s="16">
        <f>SQRT(3)</f>
        <v>1.7320508075688772</v>
      </c>
      <c r="F21" s="8">
        <f>1/2*(100/10)^2</f>
        <v>50</v>
      </c>
      <c r="G21" s="17">
        <f>D21/E21</f>
        <v>0.28867513459481292</v>
      </c>
      <c r="H21" s="8">
        <v>1</v>
      </c>
      <c r="I21" s="17">
        <f>G21*H21</f>
        <v>0.28867513459481292</v>
      </c>
      <c r="J21" s="18">
        <f>I21^2</f>
        <v>8.3333333333333356E-2</v>
      </c>
      <c r="K21" s="285">
        <f>I21^4/F21</f>
        <v>1.3888888888888897E-4</v>
      </c>
    </row>
    <row r="22" spans="1:11" ht="13" x14ac:dyDescent="0.3">
      <c r="A22" s="284" t="s">
        <v>136</v>
      </c>
      <c r="B22" s="8" t="str">
        <f>D18</f>
        <v>%</v>
      </c>
      <c r="C22" s="14" t="s">
        <v>135</v>
      </c>
      <c r="D22" s="15">
        <f>'DB MAXTEC'!H4</f>
        <v>0.05</v>
      </c>
      <c r="E22" s="16">
        <f>SQRT(3)</f>
        <v>1.7320508075688772</v>
      </c>
      <c r="F22" s="8">
        <f>1/2*(100/10)^2</f>
        <v>50</v>
      </c>
      <c r="G22" s="17">
        <f>D22/E22</f>
        <v>2.8867513459481291E-2</v>
      </c>
      <c r="H22" s="8">
        <v>1</v>
      </c>
      <c r="I22" s="17">
        <f>G22*H22</f>
        <v>2.8867513459481291E-2</v>
      </c>
      <c r="J22" s="18">
        <f>I22^2</f>
        <v>8.333333333333335E-4</v>
      </c>
      <c r="K22" s="285">
        <f>I22^4/F22</f>
        <v>1.3888888888888894E-8</v>
      </c>
    </row>
    <row r="23" spans="1:11" ht="13" x14ac:dyDescent="0.3">
      <c r="A23" s="281" t="s">
        <v>137</v>
      </c>
      <c r="B23" s="8" t="str">
        <f>D18</f>
        <v>%</v>
      </c>
      <c r="C23" s="8" t="s">
        <v>135</v>
      </c>
      <c r="D23" s="19">
        <v>0</v>
      </c>
      <c r="E23" s="20">
        <f>SQRT(3)</f>
        <v>1.7320508075688772</v>
      </c>
      <c r="F23" s="8">
        <f>1/2*(100/10)^2</f>
        <v>50</v>
      </c>
      <c r="G23" s="21">
        <f>D23/E23</f>
        <v>0</v>
      </c>
      <c r="H23" s="8">
        <v>1</v>
      </c>
      <c r="I23" s="21">
        <f>G23*H23</f>
        <v>0</v>
      </c>
      <c r="J23" s="18">
        <f>I23^2</f>
        <v>0</v>
      </c>
      <c r="K23" s="18">
        <f>I23^4/F23</f>
        <v>0</v>
      </c>
    </row>
    <row r="24" spans="1:11" ht="13" x14ac:dyDescent="0.3">
      <c r="A24" s="286" t="s">
        <v>138</v>
      </c>
      <c r="B24" s="8" t="str">
        <f>D18</f>
        <v>%</v>
      </c>
      <c r="C24" s="14" t="s">
        <v>133</v>
      </c>
      <c r="D24" s="22">
        <v>0</v>
      </c>
      <c r="E24" s="23">
        <v>2</v>
      </c>
      <c r="F24" s="8">
        <f>1/2*(100/10)^2</f>
        <v>50</v>
      </c>
      <c r="G24" s="17">
        <f>D24/E24</f>
        <v>0</v>
      </c>
      <c r="H24" s="8">
        <v>1</v>
      </c>
      <c r="I24" s="17">
        <f>G24*H24</f>
        <v>0</v>
      </c>
      <c r="J24" s="18">
        <f>I24^2</f>
        <v>0</v>
      </c>
      <c r="K24" s="18">
        <f>I24^4/F24</f>
        <v>0</v>
      </c>
    </row>
    <row r="25" spans="1:11" ht="13" x14ac:dyDescent="0.3">
      <c r="A25" s="286"/>
      <c r="B25" s="8"/>
      <c r="C25" s="8"/>
      <c r="D25" s="8"/>
      <c r="E25" s="20"/>
      <c r="F25" s="8"/>
      <c r="G25" s="21"/>
      <c r="H25" s="8"/>
      <c r="I25" s="21"/>
      <c r="J25" s="18"/>
      <c r="K25" s="18"/>
    </row>
    <row r="26" spans="1:11" ht="14" x14ac:dyDescent="0.3">
      <c r="A26" s="287" t="s">
        <v>139</v>
      </c>
      <c r="B26" s="24"/>
      <c r="C26" s="24"/>
      <c r="D26" s="24"/>
      <c r="E26" s="25"/>
      <c r="F26" s="24"/>
      <c r="G26" s="24"/>
      <c r="H26" s="24"/>
      <c r="I26" s="24"/>
      <c r="J26" s="26">
        <f>SUM(J20:J24)</f>
        <v>8.4166666666666695E-2</v>
      </c>
      <c r="K26" s="13">
        <f>SUM(K20:K24)</f>
        <v>1.3890277777777786E-4</v>
      </c>
    </row>
    <row r="27" spans="1:11" ht="17" x14ac:dyDescent="0.45">
      <c r="A27" s="288" t="s">
        <v>140</v>
      </c>
      <c r="B27" s="27"/>
      <c r="C27" s="27"/>
      <c r="D27" s="27"/>
      <c r="E27" s="28"/>
      <c r="F27" s="27"/>
      <c r="G27" s="29" t="s">
        <v>141</v>
      </c>
      <c r="H27" s="27"/>
      <c r="I27" s="27"/>
      <c r="J27" s="30">
        <f>SQRT(J26)</f>
        <v>0.2901149197588202</v>
      </c>
      <c r="K27" s="289"/>
    </row>
    <row r="28" spans="1:11" ht="17.5" x14ac:dyDescent="0.45">
      <c r="A28" s="287" t="s">
        <v>142</v>
      </c>
      <c r="B28" s="31"/>
      <c r="C28" s="31"/>
      <c r="D28" s="31"/>
      <c r="E28" s="32"/>
      <c r="F28" s="31"/>
      <c r="G28" s="290" t="s">
        <v>143</v>
      </c>
      <c r="H28" s="31"/>
      <c r="I28" s="31"/>
      <c r="J28" s="26">
        <f>J27^4/(K26)</f>
        <v>50.999900009998989</v>
      </c>
      <c r="K28" s="291"/>
    </row>
    <row r="29" spans="1:11" ht="15.5" x14ac:dyDescent="0.35">
      <c r="A29" s="288" t="s">
        <v>144</v>
      </c>
      <c r="B29" s="27"/>
      <c r="C29" s="27"/>
      <c r="D29" s="27"/>
      <c r="E29" s="28"/>
      <c r="F29" s="27"/>
      <c r="G29" s="33" t="s">
        <v>145</v>
      </c>
      <c r="H29" s="27"/>
      <c r="I29" s="27"/>
      <c r="J29" s="34">
        <f>1.95996+(2.37356/J28)+(2.818745/J28^2)+(2.546662/J28^3)+(1.761829/J28^4)+(0.245458/J28^5)+(1.000764/J28^6)</f>
        <v>2.007603663051889</v>
      </c>
      <c r="K29" s="289"/>
    </row>
    <row r="30" spans="1:11" ht="14.5" thickBot="1" x14ac:dyDescent="0.35">
      <c r="A30" s="297" t="s">
        <v>146</v>
      </c>
      <c r="B30" s="52"/>
      <c r="C30" s="52"/>
      <c r="D30" s="52"/>
      <c r="E30" s="53"/>
      <c r="F30" s="52"/>
      <c r="G30" s="54" t="s">
        <v>147</v>
      </c>
      <c r="H30" s="52"/>
      <c r="I30" s="52"/>
      <c r="J30" s="237">
        <f>J27*J29</f>
        <v>0.58243577561381232</v>
      </c>
      <c r="K30" s="298" t="str">
        <f>D18</f>
        <v>%</v>
      </c>
    </row>
    <row r="31" spans="1:11" x14ac:dyDescent="0.25">
      <c r="A31" s="293"/>
      <c r="K31" s="294"/>
    </row>
    <row r="32" spans="1:11" ht="13" x14ac:dyDescent="0.3">
      <c r="A32" s="295" t="s">
        <v>148</v>
      </c>
      <c r="B32" s="3"/>
      <c r="C32" s="186">
        <f>ID!D39</f>
        <v>10</v>
      </c>
      <c r="D32" s="4" t="s">
        <v>149</v>
      </c>
      <c r="E32" s="274"/>
      <c r="F32" s="274"/>
      <c r="G32" s="274"/>
      <c r="H32" s="274"/>
      <c r="I32" s="274"/>
      <c r="J32" s="274"/>
      <c r="K32" s="296"/>
    </row>
    <row r="33" spans="1:11" ht="14" x14ac:dyDescent="0.3">
      <c r="A33" s="279" t="s">
        <v>121</v>
      </c>
      <c r="B33" s="5" t="s">
        <v>122</v>
      </c>
      <c r="C33" s="6" t="s">
        <v>123</v>
      </c>
      <c r="D33" s="5" t="s">
        <v>124</v>
      </c>
      <c r="E33" s="7" t="s">
        <v>125</v>
      </c>
      <c r="F33" s="5" t="s">
        <v>126</v>
      </c>
      <c r="G33" s="6" t="s">
        <v>127</v>
      </c>
      <c r="H33" s="5" t="s">
        <v>128</v>
      </c>
      <c r="I33" s="6" t="s">
        <v>129</v>
      </c>
      <c r="J33" s="5" t="s">
        <v>130</v>
      </c>
      <c r="K33" s="280" t="s">
        <v>131</v>
      </c>
    </row>
    <row r="34" spans="1:11" ht="13" x14ac:dyDescent="0.3">
      <c r="A34" s="281" t="s">
        <v>150</v>
      </c>
      <c r="B34" s="8" t="str">
        <f>D32</f>
        <v>l/min</v>
      </c>
      <c r="C34" s="9" t="s">
        <v>133</v>
      </c>
      <c r="D34" s="10">
        <f>'DB Gas Flow Analyzer'!D166</f>
        <v>0</v>
      </c>
      <c r="E34" s="11">
        <f>SQRT(5)</f>
        <v>2.2360679774997898</v>
      </c>
      <c r="F34" s="8">
        <v>4</v>
      </c>
      <c r="G34" s="282">
        <f>D34/E34</f>
        <v>0</v>
      </c>
      <c r="H34" s="12">
        <v>1</v>
      </c>
      <c r="I34" s="282">
        <f>G34*H34</f>
        <v>0</v>
      </c>
      <c r="J34" s="13">
        <f>I34^2</f>
        <v>0</v>
      </c>
      <c r="K34" s="283">
        <f>I34^4/F34</f>
        <v>0</v>
      </c>
    </row>
    <row r="35" spans="1:11" ht="13" x14ac:dyDescent="0.3">
      <c r="A35" s="284" t="s">
        <v>134</v>
      </c>
      <c r="B35" s="8" t="str">
        <f>D32</f>
        <v>l/min</v>
      </c>
      <c r="C35" s="14" t="s">
        <v>135</v>
      </c>
      <c r="D35" s="15">
        <f>'DB Gas Flow Analyzer'!L166</f>
        <v>0.5</v>
      </c>
      <c r="E35" s="16">
        <f>SQRT(3)</f>
        <v>1.7320508075688772</v>
      </c>
      <c r="F35" s="8">
        <f>1/2*(100/10)^2</f>
        <v>50</v>
      </c>
      <c r="G35" s="17">
        <f>D35/E35</f>
        <v>0.28867513459481292</v>
      </c>
      <c r="H35" s="8">
        <v>1</v>
      </c>
      <c r="I35" s="17">
        <f>G35*H35</f>
        <v>0.28867513459481292</v>
      </c>
      <c r="J35" s="18">
        <f>I35^2</f>
        <v>8.3333333333333356E-2</v>
      </c>
      <c r="K35" s="285">
        <f>I35^4/F35</f>
        <v>1.3888888888888897E-4</v>
      </c>
    </row>
    <row r="36" spans="1:11" ht="13" x14ac:dyDescent="0.3">
      <c r="A36" s="284" t="s">
        <v>136</v>
      </c>
      <c r="B36" s="8" t="str">
        <f>D32</f>
        <v>l/min</v>
      </c>
      <c r="C36" s="14" t="s">
        <v>135</v>
      </c>
      <c r="D36" s="15">
        <f>'DB Gas Flow Analyzer'!N166</f>
        <v>5.0000000000000001E-3</v>
      </c>
      <c r="E36" s="16">
        <f>SQRT(3)</f>
        <v>1.7320508075688772</v>
      </c>
      <c r="F36" s="8">
        <f>1/2*(100/10)^2</f>
        <v>50</v>
      </c>
      <c r="G36" s="17">
        <f>D36/E36</f>
        <v>2.886751345948129E-3</v>
      </c>
      <c r="H36" s="8">
        <v>1</v>
      </c>
      <c r="I36" s="17">
        <f>G36*H36</f>
        <v>2.886751345948129E-3</v>
      </c>
      <c r="J36" s="18">
        <f>I36^2</f>
        <v>8.3333333333333337E-6</v>
      </c>
      <c r="K36" s="285">
        <f>I36^4/F36</f>
        <v>1.3888888888888891E-12</v>
      </c>
    </row>
    <row r="37" spans="1:11" ht="13" x14ac:dyDescent="0.3">
      <c r="A37" s="281" t="s">
        <v>137</v>
      </c>
      <c r="B37" s="8" t="str">
        <f>D32</f>
        <v>l/min</v>
      </c>
      <c r="C37" s="8" t="s">
        <v>135</v>
      </c>
      <c r="D37" s="19">
        <f>'DB Gas Flow Analyzer'!M166</f>
        <v>3.3304819531285904E-2</v>
      </c>
      <c r="E37" s="20">
        <f>SQRT(3)</f>
        <v>1.7320508075688772</v>
      </c>
      <c r="F37" s="8">
        <f>1/2*(100/10)^2</f>
        <v>50</v>
      </c>
      <c r="G37" s="21">
        <f>D37/E37</f>
        <v>1.9228546521699825E-2</v>
      </c>
      <c r="H37" s="8">
        <v>1</v>
      </c>
      <c r="I37" s="21">
        <f>G37*H37</f>
        <v>1.9228546521699825E-2</v>
      </c>
      <c r="J37" s="18">
        <f>I37^2</f>
        <v>3.6973700133717443E-4</v>
      </c>
      <c r="K37" s="18">
        <f>I37^4/F37</f>
        <v>2.7341090031561145E-9</v>
      </c>
    </row>
    <row r="38" spans="1:11" ht="13" x14ac:dyDescent="0.3">
      <c r="A38" s="286" t="s">
        <v>138</v>
      </c>
      <c r="B38" s="8" t="str">
        <f>D32</f>
        <v>l/min</v>
      </c>
      <c r="C38" s="14" t="s">
        <v>133</v>
      </c>
      <c r="D38" s="22">
        <f>'DB Gas Flow Analyzer'!K166</f>
        <v>9.9914458593857725E-2</v>
      </c>
      <c r="E38" s="23">
        <v>2</v>
      </c>
      <c r="F38" s="8">
        <f>1/2*(100/10)^2</f>
        <v>50</v>
      </c>
      <c r="G38" s="17">
        <f>D38/E38</f>
        <v>4.9957229296928862E-2</v>
      </c>
      <c r="H38" s="8">
        <v>1</v>
      </c>
      <c r="I38" s="17">
        <f>G38*H38</f>
        <v>4.9957229296928862E-2</v>
      </c>
      <c r="J38" s="18">
        <f>I38^2</f>
        <v>2.4957247590259276E-3</v>
      </c>
      <c r="K38" s="18">
        <f>I38^4/F38</f>
        <v>1.2457284145630048E-7</v>
      </c>
    </row>
    <row r="39" spans="1:11" ht="13" x14ac:dyDescent="0.3">
      <c r="A39" s="286"/>
      <c r="B39" s="8"/>
      <c r="C39" s="8"/>
      <c r="D39" s="8"/>
      <c r="E39" s="20"/>
      <c r="F39" s="8"/>
      <c r="G39" s="21"/>
      <c r="H39" s="8"/>
      <c r="I39" s="21"/>
      <c r="J39" s="18"/>
      <c r="K39" s="18"/>
    </row>
    <row r="40" spans="1:11" ht="14" x14ac:dyDescent="0.3">
      <c r="A40" s="287" t="s">
        <v>139</v>
      </c>
      <c r="B40" s="24"/>
      <c r="C40" s="24"/>
      <c r="D40" s="24"/>
      <c r="E40" s="25"/>
      <c r="F40" s="24"/>
      <c r="G40" s="24"/>
      <c r="H40" s="24"/>
      <c r="I40" s="24"/>
      <c r="J40" s="26">
        <f>SUM(J34:J38)</f>
        <v>8.6207128427029794E-2</v>
      </c>
      <c r="K40" s="13">
        <f>SUM(K34:K38)</f>
        <v>1.3901619722823732E-4</v>
      </c>
    </row>
    <row r="41" spans="1:11" ht="17" x14ac:dyDescent="0.45">
      <c r="A41" s="288" t="s">
        <v>140</v>
      </c>
      <c r="B41" s="27"/>
      <c r="C41" s="27"/>
      <c r="D41" s="27"/>
      <c r="E41" s="28"/>
      <c r="F41" s="27"/>
      <c r="G41" s="29" t="s">
        <v>141</v>
      </c>
      <c r="H41" s="27"/>
      <c r="I41" s="27"/>
      <c r="J41" s="30">
        <f>SQRT(J40)</f>
        <v>0.29361050462650307</v>
      </c>
      <c r="K41" s="289"/>
    </row>
    <row r="42" spans="1:11" ht="17.5" x14ac:dyDescent="0.45">
      <c r="A42" s="287" t="s">
        <v>142</v>
      </c>
      <c r="B42" s="31"/>
      <c r="C42" s="31"/>
      <c r="D42" s="31"/>
      <c r="E42" s="32"/>
      <c r="F42" s="31"/>
      <c r="G42" s="290" t="s">
        <v>143</v>
      </c>
      <c r="H42" s="31"/>
      <c r="I42" s="31"/>
      <c r="J42" s="26">
        <f>J41^4/(K40)</f>
        <v>53.45901513499944</v>
      </c>
      <c r="K42" s="291"/>
    </row>
    <row r="43" spans="1:11" ht="15.5" x14ac:dyDescent="0.35">
      <c r="A43" s="288" t="s">
        <v>144</v>
      </c>
      <c r="B43" s="27"/>
      <c r="C43" s="27"/>
      <c r="D43" s="27"/>
      <c r="E43" s="28"/>
      <c r="F43" s="27"/>
      <c r="G43" s="33" t="s">
        <v>145</v>
      </c>
      <c r="H43" s="27"/>
      <c r="I43" s="27"/>
      <c r="J43" s="34">
        <f>1.95996+(2.37356/J42)+(2.818745/J42^2)+(2.546662/J42^3)+(1.761829/J42^4)+(0.245458/J42^5)+(1.000764/J42^6)</f>
        <v>2.0053628170827777</v>
      </c>
      <c r="K43" s="289"/>
    </row>
    <row r="44" spans="1:11" ht="14" x14ac:dyDescent="0.3">
      <c r="A44" s="299" t="s">
        <v>146</v>
      </c>
      <c r="B44" s="35"/>
      <c r="C44" s="35"/>
      <c r="D44" s="35"/>
      <c r="E44" s="36"/>
      <c r="F44" s="35"/>
      <c r="G44" s="37" t="s">
        <v>147</v>
      </c>
      <c r="H44" s="35"/>
      <c r="I44" s="35"/>
      <c r="J44" s="236">
        <f>J41*J43</f>
        <v>0.58879558868290016</v>
      </c>
      <c r="K44" s="292" t="str">
        <f>D32</f>
        <v>l/min</v>
      </c>
    </row>
    <row r="45" spans="1:11" x14ac:dyDescent="0.25">
      <c r="A45" s="293"/>
      <c r="J45" s="241">
        <f>J44/C32*100</f>
        <v>5.8879558868290012</v>
      </c>
      <c r="K45" s="78" t="s">
        <v>120</v>
      </c>
    </row>
    <row r="46" spans="1:11" ht="13" x14ac:dyDescent="0.3">
      <c r="A46" s="295" t="str">
        <f>A32</f>
        <v>Flow</v>
      </c>
      <c r="B46" s="3"/>
      <c r="C46" s="186">
        <f>ID!D40</f>
        <v>15</v>
      </c>
      <c r="D46" s="4" t="str">
        <f>D32</f>
        <v>l/min</v>
      </c>
      <c r="E46" s="274"/>
      <c r="F46" s="274"/>
      <c r="G46" s="274"/>
      <c r="H46" s="274"/>
      <c r="I46" s="274"/>
      <c r="J46" s="274"/>
      <c r="K46" s="296"/>
    </row>
    <row r="47" spans="1:11" ht="14" x14ac:dyDescent="0.3">
      <c r="A47" s="279" t="s">
        <v>121</v>
      </c>
      <c r="B47" s="5" t="s">
        <v>122</v>
      </c>
      <c r="C47" s="6" t="s">
        <v>123</v>
      </c>
      <c r="D47" s="5" t="s">
        <v>124</v>
      </c>
      <c r="E47" s="7" t="s">
        <v>125</v>
      </c>
      <c r="F47" s="5" t="s">
        <v>126</v>
      </c>
      <c r="G47" s="6" t="s">
        <v>127</v>
      </c>
      <c r="H47" s="5" t="s">
        <v>128</v>
      </c>
      <c r="I47" s="6" t="s">
        <v>129</v>
      </c>
      <c r="J47" s="5" t="s">
        <v>130</v>
      </c>
      <c r="K47" s="280" t="s">
        <v>131</v>
      </c>
    </row>
    <row r="48" spans="1:11" ht="13" x14ac:dyDescent="0.3">
      <c r="A48" s="281" t="s">
        <v>150</v>
      </c>
      <c r="B48" s="8" t="str">
        <f>D46</f>
        <v>l/min</v>
      </c>
      <c r="C48" s="9" t="s">
        <v>133</v>
      </c>
      <c r="D48" s="10">
        <f>'DB Gas Flow Analyzer'!D167</f>
        <v>0</v>
      </c>
      <c r="E48" s="11">
        <f>SQRT(5)</f>
        <v>2.2360679774997898</v>
      </c>
      <c r="F48" s="8">
        <v>4</v>
      </c>
      <c r="G48" s="282">
        <f>D48/E48</f>
        <v>0</v>
      </c>
      <c r="H48" s="12">
        <v>1</v>
      </c>
      <c r="I48" s="282">
        <f>G48*H48</f>
        <v>0</v>
      </c>
      <c r="J48" s="13">
        <f>I48^2</f>
        <v>0</v>
      </c>
      <c r="K48" s="283">
        <f>I48^4/F48</f>
        <v>0</v>
      </c>
    </row>
    <row r="49" spans="1:11" ht="13" x14ac:dyDescent="0.3">
      <c r="A49" s="284" t="s">
        <v>134</v>
      </c>
      <c r="B49" s="8" t="str">
        <f>D46</f>
        <v>l/min</v>
      </c>
      <c r="C49" s="14" t="s">
        <v>135</v>
      </c>
      <c r="D49" s="15">
        <f>'DB Gas Flow Analyzer'!L166</f>
        <v>0.5</v>
      </c>
      <c r="E49" s="16">
        <f>SQRT(3)</f>
        <v>1.7320508075688772</v>
      </c>
      <c r="F49" s="8">
        <f>1/2*(100/10)^2</f>
        <v>50</v>
      </c>
      <c r="G49" s="17">
        <f>D49/E49</f>
        <v>0.28867513459481292</v>
      </c>
      <c r="H49" s="8">
        <v>1</v>
      </c>
      <c r="I49" s="17">
        <f>G49*H49</f>
        <v>0.28867513459481292</v>
      </c>
      <c r="J49" s="18">
        <f>I49^2</f>
        <v>8.3333333333333356E-2</v>
      </c>
      <c r="K49" s="285">
        <f>I49^4/F49</f>
        <v>1.3888888888888897E-4</v>
      </c>
    </row>
    <row r="50" spans="1:11" ht="13" x14ac:dyDescent="0.3">
      <c r="A50" s="284" t="s">
        <v>136</v>
      </c>
      <c r="B50" s="8" t="str">
        <f>D46</f>
        <v>l/min</v>
      </c>
      <c r="C50" s="14" t="s">
        <v>135</v>
      </c>
      <c r="D50" s="15">
        <f>'DB Gas Flow Analyzer'!N166</f>
        <v>5.0000000000000001E-3</v>
      </c>
      <c r="E50" s="16">
        <f>SQRT(3)</f>
        <v>1.7320508075688772</v>
      </c>
      <c r="F50" s="8">
        <f>1/2*(100/10)^2</f>
        <v>50</v>
      </c>
      <c r="G50" s="17">
        <f>D50/E50</f>
        <v>2.886751345948129E-3</v>
      </c>
      <c r="H50" s="8">
        <v>1</v>
      </c>
      <c r="I50" s="17">
        <f>G50*H50</f>
        <v>2.886751345948129E-3</v>
      </c>
      <c r="J50" s="18">
        <f>I50^2</f>
        <v>8.3333333333333337E-6</v>
      </c>
      <c r="K50" s="285">
        <f>I50^4/F50</f>
        <v>1.3888888888888891E-12</v>
      </c>
    </row>
    <row r="51" spans="1:11" ht="13" x14ac:dyDescent="0.3">
      <c r="A51" s="281" t="s">
        <v>137</v>
      </c>
      <c r="B51" s="8" t="str">
        <f>D46</f>
        <v>l/min</v>
      </c>
      <c r="C51" s="8" t="s">
        <v>135</v>
      </c>
      <c r="D51" s="19">
        <f>'DB Gas Flow Analyzer'!M167</f>
        <v>4.5383845282411468E-2</v>
      </c>
      <c r="E51" s="20">
        <f>SQRT(3)</f>
        <v>1.7320508075688772</v>
      </c>
      <c r="F51" s="8">
        <f>1/2*(100/10)^2</f>
        <v>50</v>
      </c>
      <c r="G51" s="21">
        <f>D51/E51</f>
        <v>2.6202375290660589E-2</v>
      </c>
      <c r="H51" s="8">
        <v>1</v>
      </c>
      <c r="I51" s="21">
        <f>G51*H51</f>
        <v>2.6202375290660589E-2</v>
      </c>
      <c r="J51" s="18">
        <f>I51^2</f>
        <v>6.8656447087262059E-4</v>
      </c>
      <c r="K51" s="18">
        <f>I51^4/F51</f>
        <v>9.4274154532920298E-9</v>
      </c>
    </row>
    <row r="52" spans="1:11" ht="13" x14ac:dyDescent="0.3">
      <c r="A52" s="286" t="s">
        <v>138</v>
      </c>
      <c r="B52" s="8" t="str">
        <f>D46</f>
        <v>l/min</v>
      </c>
      <c r="C52" s="14" t="s">
        <v>133</v>
      </c>
      <c r="D52" s="22">
        <f>'DB Gas Flow Analyzer'!K167</f>
        <v>0.13615153584723441</v>
      </c>
      <c r="E52" s="23">
        <v>2</v>
      </c>
      <c r="F52" s="8">
        <f>1/2*(100/10)^2</f>
        <v>50</v>
      </c>
      <c r="G52" s="17">
        <f>D52/E52</f>
        <v>6.8075767923617206E-2</v>
      </c>
      <c r="H52" s="8">
        <v>1</v>
      </c>
      <c r="I52" s="17">
        <f>G52*H52</f>
        <v>6.8075767923617206E-2</v>
      </c>
      <c r="J52" s="18">
        <f>I52^2</f>
        <v>4.6343101783901889E-3</v>
      </c>
      <c r="K52" s="18">
        <f>I52^4/F52</f>
        <v>4.295366165906181E-7</v>
      </c>
    </row>
    <row r="53" spans="1:11" ht="13" x14ac:dyDescent="0.3">
      <c r="A53" s="286"/>
      <c r="B53" s="8"/>
      <c r="C53" s="8"/>
      <c r="D53" s="8"/>
      <c r="E53" s="20"/>
      <c r="F53" s="8"/>
      <c r="G53" s="21"/>
      <c r="H53" s="8"/>
      <c r="I53" s="21"/>
      <c r="J53" s="18"/>
      <c r="K53" s="18"/>
    </row>
    <row r="54" spans="1:11" ht="14" x14ac:dyDescent="0.3">
      <c r="A54" s="287" t="s">
        <v>139</v>
      </c>
      <c r="B54" s="24"/>
      <c r="C54" s="24"/>
      <c r="D54" s="24"/>
      <c r="E54" s="25"/>
      <c r="F54" s="24"/>
      <c r="G54" s="24"/>
      <c r="H54" s="24"/>
      <c r="I54" s="24"/>
      <c r="J54" s="26">
        <f>SUM(J48:J52)</f>
        <v>8.8662541315929502E-2</v>
      </c>
      <c r="K54" s="13">
        <f>SUM(K48:K52)</f>
        <v>1.3932785430982177E-4</v>
      </c>
    </row>
    <row r="55" spans="1:11" ht="17" x14ac:dyDescent="0.45">
      <c r="A55" s="288" t="s">
        <v>140</v>
      </c>
      <c r="B55" s="27"/>
      <c r="C55" s="27"/>
      <c r="D55" s="27"/>
      <c r="E55" s="28"/>
      <c r="F55" s="27"/>
      <c r="G55" s="29" t="s">
        <v>141</v>
      </c>
      <c r="H55" s="27"/>
      <c r="I55" s="27"/>
      <c r="J55" s="30">
        <f>SQRT(J54)</f>
        <v>0.29776255862000095</v>
      </c>
      <c r="K55" s="289"/>
    </row>
    <row r="56" spans="1:11" ht="17.5" x14ac:dyDescent="0.45">
      <c r="A56" s="287" t="s">
        <v>142</v>
      </c>
      <c r="B56" s="31"/>
      <c r="C56" s="31"/>
      <c r="D56" s="31"/>
      <c r="E56" s="32"/>
      <c r="F56" s="31"/>
      <c r="G56" s="290" t="s">
        <v>143</v>
      </c>
      <c r="H56" s="31"/>
      <c r="I56" s="31"/>
      <c r="J56" s="26">
        <f>J55^4/(K54)</f>
        <v>56.421210758893814</v>
      </c>
      <c r="K56" s="291"/>
    </row>
    <row r="57" spans="1:11" ht="15.5" x14ac:dyDescent="0.35">
      <c r="A57" s="288" t="s">
        <v>144</v>
      </c>
      <c r="B57" s="27"/>
      <c r="C57" s="27"/>
      <c r="D57" s="27"/>
      <c r="E57" s="28"/>
      <c r="F57" s="27"/>
      <c r="G57" s="33" t="s">
        <v>145</v>
      </c>
      <c r="H57" s="27"/>
      <c r="I57" s="27"/>
      <c r="J57" s="34">
        <f>1.95996+(2.37356/J56)+(2.818745/J56^2)+(2.546662/J56^3)+(1.761829/J56^4)+(0.245458/J56^5)+(1.000764/J56^6)</f>
        <v>2.0029283935529447</v>
      </c>
      <c r="K57" s="289"/>
    </row>
    <row r="58" spans="1:11" ht="14" x14ac:dyDescent="0.3">
      <c r="A58" s="299" t="s">
        <v>146</v>
      </c>
      <c r="B58" s="35"/>
      <c r="C58" s="35"/>
      <c r="D58" s="35"/>
      <c r="E58" s="36"/>
      <c r="F58" s="35"/>
      <c r="G58" s="37" t="s">
        <v>147</v>
      </c>
      <c r="H58" s="35"/>
      <c r="I58" s="35"/>
      <c r="J58" s="236">
        <f>J55*J57</f>
        <v>0.59639708319697304</v>
      </c>
      <c r="K58" s="292" t="str">
        <f>D46</f>
        <v>l/min</v>
      </c>
    </row>
    <row r="59" spans="1:11" x14ac:dyDescent="0.25">
      <c r="A59" s="293"/>
      <c r="J59" s="241">
        <f>J58/C46*100</f>
        <v>3.9759805546464868</v>
      </c>
      <c r="K59" s="78" t="s">
        <v>120</v>
      </c>
    </row>
    <row r="60" spans="1:11" ht="13" x14ac:dyDescent="0.3">
      <c r="A60" s="295" t="str">
        <f>A32</f>
        <v>Flow</v>
      </c>
      <c r="B60" s="3"/>
      <c r="C60" s="186">
        <f>ID!D41</f>
        <v>20</v>
      </c>
      <c r="D60" s="4" t="str">
        <f>D32</f>
        <v>l/min</v>
      </c>
      <c r="E60" s="274"/>
      <c r="F60" s="274"/>
      <c r="G60" s="274"/>
      <c r="H60" s="274"/>
      <c r="I60" s="274"/>
      <c r="J60" s="274"/>
      <c r="K60" s="296"/>
    </row>
    <row r="61" spans="1:11" ht="14" x14ac:dyDescent="0.3">
      <c r="A61" s="279" t="s">
        <v>121</v>
      </c>
      <c r="B61" s="5" t="s">
        <v>122</v>
      </c>
      <c r="C61" s="6" t="s">
        <v>123</v>
      </c>
      <c r="D61" s="5" t="s">
        <v>124</v>
      </c>
      <c r="E61" s="7" t="s">
        <v>125</v>
      </c>
      <c r="F61" s="5" t="s">
        <v>126</v>
      </c>
      <c r="G61" s="6" t="s">
        <v>127</v>
      </c>
      <c r="H61" s="5" t="s">
        <v>128</v>
      </c>
      <c r="I61" s="6" t="s">
        <v>129</v>
      </c>
      <c r="J61" s="5" t="s">
        <v>130</v>
      </c>
      <c r="K61" s="280" t="s">
        <v>131</v>
      </c>
    </row>
    <row r="62" spans="1:11" ht="13" x14ac:dyDescent="0.3">
      <c r="A62" s="281" t="s">
        <v>150</v>
      </c>
      <c r="B62" s="8" t="str">
        <f>D60</f>
        <v>l/min</v>
      </c>
      <c r="C62" s="9" t="s">
        <v>133</v>
      </c>
      <c r="D62" s="10">
        <f>'DB Gas Flow Analyzer'!D168</f>
        <v>0</v>
      </c>
      <c r="E62" s="11">
        <f>SQRT(5)</f>
        <v>2.2360679774997898</v>
      </c>
      <c r="F62" s="8">
        <v>4</v>
      </c>
      <c r="G62" s="282">
        <f>D62/E62</f>
        <v>0</v>
      </c>
      <c r="H62" s="12">
        <v>1</v>
      </c>
      <c r="I62" s="282">
        <f>G62*H62</f>
        <v>0</v>
      </c>
      <c r="J62" s="13">
        <f>I62^2</f>
        <v>0</v>
      </c>
      <c r="K62" s="283">
        <f>I62^4/F62</f>
        <v>0</v>
      </c>
    </row>
    <row r="63" spans="1:11" ht="13" x14ac:dyDescent="0.3">
      <c r="A63" s="284" t="s">
        <v>134</v>
      </c>
      <c r="B63" s="8" t="str">
        <f>D60</f>
        <v>l/min</v>
      </c>
      <c r="C63" s="14" t="s">
        <v>135</v>
      </c>
      <c r="D63" s="15">
        <f>'DB Gas Flow Analyzer'!L166</f>
        <v>0.5</v>
      </c>
      <c r="E63" s="16">
        <f>SQRT(3)</f>
        <v>1.7320508075688772</v>
      </c>
      <c r="F63" s="8">
        <f>1/2*(100/10)^2</f>
        <v>50</v>
      </c>
      <c r="G63" s="17">
        <f>D63/E63</f>
        <v>0.28867513459481292</v>
      </c>
      <c r="H63" s="8">
        <v>1</v>
      </c>
      <c r="I63" s="17">
        <f>G63*H63</f>
        <v>0.28867513459481292</v>
      </c>
      <c r="J63" s="18">
        <f>I63^2</f>
        <v>8.3333333333333356E-2</v>
      </c>
      <c r="K63" s="285">
        <f>I63^4/F63</f>
        <v>1.3888888888888897E-4</v>
      </c>
    </row>
    <row r="64" spans="1:11" ht="13" x14ac:dyDescent="0.3">
      <c r="A64" s="284" t="s">
        <v>136</v>
      </c>
      <c r="B64" s="8" t="str">
        <f>D60</f>
        <v>l/min</v>
      </c>
      <c r="C64" s="14" t="s">
        <v>135</v>
      </c>
      <c r="D64" s="15">
        <f>'DB Gas Flow Analyzer'!N166</f>
        <v>5.0000000000000001E-3</v>
      </c>
      <c r="E64" s="16">
        <f>SQRT(3)</f>
        <v>1.7320508075688772</v>
      </c>
      <c r="F64" s="8">
        <f>1/2*(100/10)^2</f>
        <v>50</v>
      </c>
      <c r="G64" s="17">
        <f>D64/E64</f>
        <v>2.886751345948129E-3</v>
      </c>
      <c r="H64" s="8">
        <v>1</v>
      </c>
      <c r="I64" s="17">
        <f>G64*H64</f>
        <v>2.886751345948129E-3</v>
      </c>
      <c r="J64" s="18">
        <f>I64^2</f>
        <v>8.3333333333333337E-6</v>
      </c>
      <c r="K64" s="285">
        <f>I64^4/F64</f>
        <v>1.3888888888888891E-12</v>
      </c>
    </row>
    <row r="65" spans="1:11" ht="13" x14ac:dyDescent="0.3">
      <c r="A65" s="281" t="s">
        <v>137</v>
      </c>
      <c r="B65" s="8" t="str">
        <f>D60</f>
        <v>l/min</v>
      </c>
      <c r="C65" s="8" t="s">
        <v>135</v>
      </c>
      <c r="D65" s="19">
        <f>'DB Gas Flow Analyzer'!M168</f>
        <v>5.7462871033537019E-2</v>
      </c>
      <c r="E65" s="20">
        <f>SQRT(3)</f>
        <v>1.7320508075688772</v>
      </c>
      <c r="F65" s="8">
        <f>1/2*(100/10)^2</f>
        <v>50</v>
      </c>
      <c r="G65" s="21">
        <f>D65/E65</f>
        <v>3.317620405962135E-2</v>
      </c>
      <c r="H65" s="8">
        <v>1</v>
      </c>
      <c r="I65" s="21">
        <f>G65*H65</f>
        <v>3.317620405962135E-2</v>
      </c>
      <c r="J65" s="18">
        <f>I65^2</f>
        <v>1.1006605158056361E-3</v>
      </c>
      <c r="K65" s="18">
        <f>I65^4/F65</f>
        <v>2.4229071421070578E-8</v>
      </c>
    </row>
    <row r="66" spans="1:11" ht="13" x14ac:dyDescent="0.3">
      <c r="A66" s="286" t="s">
        <v>138</v>
      </c>
      <c r="B66" s="8" t="str">
        <f>D60</f>
        <v>l/min</v>
      </c>
      <c r="C66" s="14" t="s">
        <v>133</v>
      </c>
      <c r="D66" s="22">
        <f>'DB Gas Flow Analyzer'!K168</f>
        <v>0.17238861310061107</v>
      </c>
      <c r="E66" s="23">
        <v>2</v>
      </c>
      <c r="F66" s="8">
        <f>1/2*(100/10)^2</f>
        <v>50</v>
      </c>
      <c r="G66" s="17">
        <f>D66/E66</f>
        <v>8.6194306550305536E-2</v>
      </c>
      <c r="H66" s="8">
        <v>1</v>
      </c>
      <c r="I66" s="17">
        <f>G66*H66</f>
        <v>8.6194306550305536E-2</v>
      </c>
      <c r="J66" s="18">
        <f>I66^2</f>
        <v>7.4294584816880435E-3</v>
      </c>
      <c r="K66" s="18">
        <f>I66^4/F66</f>
        <v>1.1039370666225281E-6</v>
      </c>
    </row>
    <row r="67" spans="1:11" ht="13" x14ac:dyDescent="0.3">
      <c r="A67" s="286"/>
      <c r="B67" s="8"/>
      <c r="C67" s="8"/>
      <c r="D67" s="8"/>
      <c r="E67" s="20"/>
      <c r="F67" s="8"/>
      <c r="G67" s="21"/>
      <c r="H67" s="8"/>
      <c r="I67" s="21"/>
      <c r="J67" s="18"/>
      <c r="K67" s="18"/>
    </row>
    <row r="68" spans="1:11" ht="14" x14ac:dyDescent="0.3">
      <c r="A68" s="287" t="s">
        <v>139</v>
      </c>
      <c r="B68" s="24"/>
      <c r="C68" s="24"/>
      <c r="D68" s="24"/>
      <c r="E68" s="25"/>
      <c r="F68" s="24"/>
      <c r="G68" s="24"/>
      <c r="H68" s="24"/>
      <c r="I68" s="24"/>
      <c r="J68" s="26">
        <f>SUM(J62:J66)</f>
        <v>9.1871785664160377E-2</v>
      </c>
      <c r="K68" s="13">
        <f>SUM(K62:K66)</f>
        <v>1.4001705641582146E-4</v>
      </c>
    </row>
    <row r="69" spans="1:11" ht="17" x14ac:dyDescent="0.45">
      <c r="A69" s="288" t="s">
        <v>140</v>
      </c>
      <c r="B69" s="27"/>
      <c r="C69" s="27"/>
      <c r="D69" s="27"/>
      <c r="E69" s="28"/>
      <c r="F69" s="27"/>
      <c r="G69" s="29" t="s">
        <v>141</v>
      </c>
      <c r="H69" s="27"/>
      <c r="I69" s="27"/>
      <c r="J69" s="30">
        <f>SQRT(J68)</f>
        <v>0.3031035889991413</v>
      </c>
      <c r="K69" s="289"/>
    </row>
    <row r="70" spans="1:11" ht="17.5" x14ac:dyDescent="0.45">
      <c r="A70" s="287" t="s">
        <v>142</v>
      </c>
      <c r="B70" s="31"/>
      <c r="C70" s="31"/>
      <c r="D70" s="31"/>
      <c r="E70" s="32"/>
      <c r="F70" s="31"/>
      <c r="G70" s="290" t="s">
        <v>143</v>
      </c>
      <c r="H70" s="31"/>
      <c r="I70" s="31"/>
      <c r="J70" s="26">
        <f>J69^4/(K68)</f>
        <v>60.28140583140901</v>
      </c>
      <c r="K70" s="291"/>
    </row>
    <row r="71" spans="1:11" ht="15.5" x14ac:dyDescent="0.35">
      <c r="A71" s="288" t="s">
        <v>144</v>
      </c>
      <c r="B71" s="27"/>
      <c r="C71" s="27"/>
      <c r="D71" s="27"/>
      <c r="E71" s="28"/>
      <c r="F71" s="27"/>
      <c r="G71" s="33" t="s">
        <v>145</v>
      </c>
      <c r="H71" s="27"/>
      <c r="I71" s="27"/>
      <c r="J71" s="34">
        <f>1.95996+(2.37356/J70)+(2.818745/J70^2)+(2.546662/J70^3)+(1.761829/J70^4)+(0.245458/J70^5)+(1.000764/J70^6)</f>
        <v>2.0001221133699683</v>
      </c>
      <c r="K71" s="289"/>
    </row>
    <row r="72" spans="1:11" ht="14" x14ac:dyDescent="0.3">
      <c r="A72" s="299" t="s">
        <v>146</v>
      </c>
      <c r="B72" s="35"/>
      <c r="C72" s="35"/>
      <c r="D72" s="35"/>
      <c r="E72" s="36"/>
      <c r="F72" s="35"/>
      <c r="G72" s="37" t="s">
        <v>147</v>
      </c>
      <c r="H72" s="35"/>
      <c r="I72" s="35"/>
      <c r="J72" s="236">
        <f>J69*J71</f>
        <v>0.60624419099898474</v>
      </c>
      <c r="K72" s="292" t="str">
        <f>D60</f>
        <v>l/min</v>
      </c>
    </row>
    <row r="73" spans="1:11" x14ac:dyDescent="0.25">
      <c r="A73" s="293"/>
      <c r="J73" s="241">
        <f>J72/C60*100</f>
        <v>3.0312209549949238</v>
      </c>
      <c r="K73" s="78" t="s">
        <v>120</v>
      </c>
    </row>
    <row r="74" spans="1:11" ht="13" x14ac:dyDescent="0.3">
      <c r="A74" s="295" t="s">
        <v>148</v>
      </c>
      <c r="B74" s="3"/>
      <c r="C74" s="186">
        <f>ID!D42</f>
        <v>25</v>
      </c>
      <c r="D74" s="4" t="str">
        <f>D32</f>
        <v>l/min</v>
      </c>
      <c r="E74" s="274"/>
      <c r="F74" s="274"/>
      <c r="G74" s="274"/>
      <c r="H74" s="274"/>
      <c r="I74" s="274"/>
      <c r="J74" s="274"/>
      <c r="K74" s="296"/>
    </row>
    <row r="75" spans="1:11" ht="14" x14ac:dyDescent="0.3">
      <c r="A75" s="279" t="s">
        <v>121</v>
      </c>
      <c r="B75" s="5" t="s">
        <v>122</v>
      </c>
      <c r="C75" s="6" t="s">
        <v>123</v>
      </c>
      <c r="D75" s="5" t="s">
        <v>124</v>
      </c>
      <c r="E75" s="7" t="s">
        <v>125</v>
      </c>
      <c r="F75" s="5" t="s">
        <v>126</v>
      </c>
      <c r="G75" s="6" t="s">
        <v>127</v>
      </c>
      <c r="H75" s="5" t="s">
        <v>128</v>
      </c>
      <c r="I75" s="6" t="s">
        <v>129</v>
      </c>
      <c r="J75" s="5" t="s">
        <v>130</v>
      </c>
      <c r="K75" s="280" t="s">
        <v>131</v>
      </c>
    </row>
    <row r="76" spans="1:11" ht="13" x14ac:dyDescent="0.3">
      <c r="A76" s="281" t="s">
        <v>150</v>
      </c>
      <c r="B76" s="8" t="str">
        <f>D74</f>
        <v>l/min</v>
      </c>
      <c r="C76" s="9" t="s">
        <v>133</v>
      </c>
      <c r="D76" s="10">
        <f>'DB Gas Flow Analyzer'!D169</f>
        <v>0</v>
      </c>
      <c r="E76" s="11">
        <f>SQRT(5)</f>
        <v>2.2360679774997898</v>
      </c>
      <c r="F76" s="8">
        <v>4</v>
      </c>
      <c r="G76" s="282">
        <f>D76/E76</f>
        <v>0</v>
      </c>
      <c r="H76" s="12">
        <v>1</v>
      </c>
      <c r="I76" s="282">
        <f>G76*H76</f>
        <v>0</v>
      </c>
      <c r="J76" s="13">
        <f>I76^2</f>
        <v>0</v>
      </c>
      <c r="K76" s="283">
        <f>I76^4/F76</f>
        <v>0</v>
      </c>
    </row>
    <row r="77" spans="1:11" ht="13" x14ac:dyDescent="0.3">
      <c r="A77" s="284" t="s">
        <v>134</v>
      </c>
      <c r="B77" s="8" t="str">
        <f>D74</f>
        <v>l/min</v>
      </c>
      <c r="C77" s="14" t="s">
        <v>135</v>
      </c>
      <c r="D77" s="15">
        <f>'DB Gas Flow Analyzer'!L166</f>
        <v>0.5</v>
      </c>
      <c r="E77" s="16">
        <f>SQRT(3)</f>
        <v>1.7320508075688772</v>
      </c>
      <c r="F77" s="8">
        <f>1/2*(100/10)^2</f>
        <v>50</v>
      </c>
      <c r="G77" s="17">
        <f>D77/E77</f>
        <v>0.28867513459481292</v>
      </c>
      <c r="H77" s="8">
        <v>1</v>
      </c>
      <c r="I77" s="17">
        <f>G77*H77</f>
        <v>0.28867513459481292</v>
      </c>
      <c r="J77" s="18">
        <f>I77^2</f>
        <v>8.3333333333333356E-2</v>
      </c>
      <c r="K77" s="285">
        <f>I77^4/F77</f>
        <v>1.3888888888888897E-4</v>
      </c>
    </row>
    <row r="78" spans="1:11" ht="13" x14ac:dyDescent="0.3">
      <c r="A78" s="284" t="s">
        <v>136</v>
      </c>
      <c r="B78" s="8" t="str">
        <f>D74</f>
        <v>l/min</v>
      </c>
      <c r="C78" s="14" t="s">
        <v>135</v>
      </c>
      <c r="D78" s="15">
        <f>'DB Gas Flow Analyzer'!N166</f>
        <v>5.0000000000000001E-3</v>
      </c>
      <c r="E78" s="16">
        <f>SQRT(3)</f>
        <v>1.7320508075688772</v>
      </c>
      <c r="F78" s="8">
        <f>1/2*(100/10)^2</f>
        <v>50</v>
      </c>
      <c r="G78" s="17">
        <f>D78/E78</f>
        <v>2.886751345948129E-3</v>
      </c>
      <c r="H78" s="8">
        <v>1</v>
      </c>
      <c r="I78" s="17">
        <f>G78*H78</f>
        <v>2.886751345948129E-3</v>
      </c>
      <c r="J78" s="18">
        <f>I78^2</f>
        <v>8.3333333333333337E-6</v>
      </c>
      <c r="K78" s="285">
        <f>I78^4/F78</f>
        <v>1.3888888888888891E-12</v>
      </c>
    </row>
    <row r="79" spans="1:11" ht="13" x14ac:dyDescent="0.3">
      <c r="A79" s="281" t="s">
        <v>137</v>
      </c>
      <c r="B79" s="8" t="str">
        <f>D74</f>
        <v>l/min</v>
      </c>
      <c r="C79" s="8" t="s">
        <v>135</v>
      </c>
      <c r="D79" s="19">
        <f>'DB Gas Flow Analyzer'!M169</f>
        <v>6.9541896784662577E-2</v>
      </c>
      <c r="E79" s="20">
        <f>SQRT(3)</f>
        <v>1.7320508075688772</v>
      </c>
      <c r="F79" s="8">
        <f>1/2*(100/10)^2</f>
        <v>50</v>
      </c>
      <c r="G79" s="21">
        <f>D79/E79</f>
        <v>4.0150032828582115E-2</v>
      </c>
      <c r="H79" s="8">
        <v>1</v>
      </c>
      <c r="I79" s="21">
        <f>G79*H79</f>
        <v>4.0150032828582115E-2</v>
      </c>
      <c r="J79" s="18">
        <f>I79^2</f>
        <v>1.6120251361362214E-3</v>
      </c>
      <c r="K79" s="18">
        <f>I79^4/F79</f>
        <v>5.1972500790700066E-8</v>
      </c>
    </row>
    <row r="80" spans="1:11" ht="13" x14ac:dyDescent="0.3">
      <c r="A80" s="286" t="s">
        <v>138</v>
      </c>
      <c r="B80" s="8" t="str">
        <f>D74</f>
        <v>l/min</v>
      </c>
      <c r="C80" s="14" t="s">
        <v>133</v>
      </c>
      <c r="D80" s="22">
        <f>'DB Gas Flow Analyzer'!K169</f>
        <v>0.20862569035398776</v>
      </c>
      <c r="E80" s="23">
        <v>2</v>
      </c>
      <c r="F80" s="8">
        <f>1/2*(100/10)^2</f>
        <v>50</v>
      </c>
      <c r="G80" s="17">
        <f>D80/E80</f>
        <v>0.10431284517699388</v>
      </c>
      <c r="H80" s="8">
        <v>1</v>
      </c>
      <c r="I80" s="17">
        <f>G80*H80</f>
        <v>0.10431284517699388</v>
      </c>
      <c r="J80" s="18">
        <f>I80^2</f>
        <v>1.0881169668919496E-2</v>
      </c>
      <c r="K80" s="18">
        <f>I80^4/F80</f>
        <v>2.3679970672762722E-6</v>
      </c>
    </row>
    <row r="81" spans="1:11" ht="13" x14ac:dyDescent="0.3">
      <c r="A81" s="286"/>
      <c r="B81" s="8"/>
      <c r="C81" s="8"/>
      <c r="D81" s="8"/>
      <c r="E81" s="20"/>
      <c r="F81" s="8"/>
      <c r="G81" s="21"/>
      <c r="H81" s="8"/>
      <c r="I81" s="21"/>
      <c r="J81" s="18"/>
      <c r="K81" s="18"/>
    </row>
    <row r="82" spans="1:11" ht="14" x14ac:dyDescent="0.3">
      <c r="A82" s="287" t="s">
        <v>139</v>
      </c>
      <c r="B82" s="24"/>
      <c r="C82" s="24"/>
      <c r="D82" s="24"/>
      <c r="E82" s="25"/>
      <c r="F82" s="24"/>
      <c r="G82" s="24"/>
      <c r="H82" s="24"/>
      <c r="I82" s="24"/>
      <c r="J82" s="26">
        <f>SUM(J76:J80)</f>
        <v>9.5834861471722405E-2</v>
      </c>
      <c r="K82" s="13">
        <f>SUM(K76:K80)</f>
        <v>1.4130885984584482E-4</v>
      </c>
    </row>
    <row r="83" spans="1:11" ht="17" x14ac:dyDescent="0.45">
      <c r="A83" s="288" t="s">
        <v>140</v>
      </c>
      <c r="B83" s="27"/>
      <c r="C83" s="27"/>
      <c r="D83" s="27"/>
      <c r="E83" s="28"/>
      <c r="F83" s="27"/>
      <c r="G83" s="29" t="s">
        <v>141</v>
      </c>
      <c r="H83" s="27"/>
      <c r="I83" s="27"/>
      <c r="J83" s="30">
        <f>SQRT(J82)</f>
        <v>0.3095720618397636</v>
      </c>
      <c r="K83" s="289"/>
    </row>
    <row r="84" spans="1:11" ht="17.5" x14ac:dyDescent="0.45">
      <c r="A84" s="287" t="s">
        <v>142</v>
      </c>
      <c r="B84" s="31"/>
      <c r="C84" s="31"/>
      <c r="D84" s="31"/>
      <c r="E84" s="32"/>
      <c r="F84" s="31"/>
      <c r="G84" s="290" t="s">
        <v>143</v>
      </c>
      <c r="H84" s="31"/>
      <c r="I84" s="31"/>
      <c r="J84" s="26">
        <f>J83^4/(K82)</f>
        <v>64.994655560334209</v>
      </c>
      <c r="K84" s="291"/>
    </row>
    <row r="85" spans="1:11" ht="15.5" x14ac:dyDescent="0.35">
      <c r="A85" s="288" t="s">
        <v>144</v>
      </c>
      <c r="B85" s="27"/>
      <c r="C85" s="27"/>
      <c r="D85" s="27"/>
      <c r="E85" s="28"/>
      <c r="F85" s="27"/>
      <c r="G85" s="33" t="s">
        <v>145</v>
      </c>
      <c r="H85" s="27"/>
      <c r="I85" s="27"/>
      <c r="J85" s="34">
        <f>1.95996+(2.37356/J84)+(2.818745/J84^2)+(2.546662/J84^3)+(1.761829/J84^4)+(0.245458/J84^5)+(1.000764/J84^6)</f>
        <v>1.9971559531703258</v>
      </c>
      <c r="K85" s="289"/>
    </row>
    <row r="86" spans="1:11" ht="14" x14ac:dyDescent="0.3">
      <c r="A86" s="288" t="s">
        <v>146</v>
      </c>
      <c r="B86" s="35"/>
      <c r="C86" s="35"/>
      <c r="D86" s="35"/>
      <c r="E86" s="36"/>
      <c r="F86" s="35"/>
      <c r="G86" s="37" t="s">
        <v>147</v>
      </c>
      <c r="H86" s="35"/>
      <c r="I86" s="35"/>
      <c r="J86" s="236">
        <f>J83*J85</f>
        <v>0.61826368623849615</v>
      </c>
      <c r="K86" s="292" t="str">
        <f>D74</f>
        <v>l/min</v>
      </c>
    </row>
    <row r="87" spans="1:11" ht="14" x14ac:dyDescent="0.3">
      <c r="A87" s="300"/>
      <c r="B87" s="31"/>
      <c r="C87" s="31"/>
      <c r="D87" s="31"/>
      <c r="E87" s="32"/>
      <c r="F87" s="31"/>
      <c r="G87" s="301"/>
      <c r="H87" s="31"/>
      <c r="I87" s="31"/>
      <c r="J87" s="241">
        <f>J86/C74*100</f>
        <v>2.4730547449539846</v>
      </c>
      <c r="K87" s="78" t="s">
        <v>120</v>
      </c>
    </row>
    <row r="88" spans="1:11" ht="13" x14ac:dyDescent="0.3">
      <c r="A88" s="295" t="s">
        <v>148</v>
      </c>
      <c r="B88" s="3"/>
      <c r="C88" s="186">
        <f>ID!D43</f>
        <v>30</v>
      </c>
      <c r="D88" s="4" t="str">
        <f>D46</f>
        <v>l/min</v>
      </c>
      <c r="E88" s="274"/>
      <c r="F88" s="274"/>
      <c r="G88" s="274"/>
      <c r="H88" s="274"/>
      <c r="I88" s="274"/>
      <c r="J88" s="274"/>
      <c r="K88" s="296"/>
    </row>
    <row r="89" spans="1:11" ht="14" x14ac:dyDescent="0.3">
      <c r="A89" s="279" t="s">
        <v>121</v>
      </c>
      <c r="B89" s="5" t="s">
        <v>122</v>
      </c>
      <c r="C89" s="6" t="s">
        <v>123</v>
      </c>
      <c r="D89" s="5" t="s">
        <v>124</v>
      </c>
      <c r="E89" s="7" t="s">
        <v>125</v>
      </c>
      <c r="F89" s="5" t="s">
        <v>126</v>
      </c>
      <c r="G89" s="6" t="s">
        <v>127</v>
      </c>
      <c r="H89" s="5" t="s">
        <v>128</v>
      </c>
      <c r="I89" s="6" t="s">
        <v>129</v>
      </c>
      <c r="J89" s="5" t="s">
        <v>130</v>
      </c>
      <c r="K89" s="280" t="s">
        <v>131</v>
      </c>
    </row>
    <row r="90" spans="1:11" ht="13" x14ac:dyDescent="0.3">
      <c r="A90" s="281" t="s">
        <v>150</v>
      </c>
      <c r="B90" s="8" t="str">
        <f>D88</f>
        <v>l/min</v>
      </c>
      <c r="C90" s="9" t="s">
        <v>133</v>
      </c>
      <c r="D90" s="10">
        <f>'DB Gas Flow Analyzer'!D170</f>
        <v>0</v>
      </c>
      <c r="E90" s="11">
        <f>SQRT(5)</f>
        <v>2.2360679774997898</v>
      </c>
      <c r="F90" s="8">
        <v>4</v>
      </c>
      <c r="G90" s="282">
        <f>D90/E90</f>
        <v>0</v>
      </c>
      <c r="H90" s="12">
        <v>1</v>
      </c>
      <c r="I90" s="282">
        <f>G90*H90</f>
        <v>0</v>
      </c>
      <c r="J90" s="13">
        <f>I90^2</f>
        <v>0</v>
      </c>
      <c r="K90" s="283">
        <f>I90^4/F90</f>
        <v>0</v>
      </c>
    </row>
    <row r="91" spans="1:11" ht="13" x14ac:dyDescent="0.3">
      <c r="A91" s="284" t="s">
        <v>134</v>
      </c>
      <c r="B91" s="8" t="str">
        <f>D88</f>
        <v>l/min</v>
      </c>
      <c r="C91" s="14" t="s">
        <v>135</v>
      </c>
      <c r="D91" s="15">
        <f>'DB Gas Flow Analyzer'!L166</f>
        <v>0.5</v>
      </c>
      <c r="E91" s="16">
        <f>SQRT(3)</f>
        <v>1.7320508075688772</v>
      </c>
      <c r="F91" s="8">
        <f>1/2*(100/10)^2</f>
        <v>50</v>
      </c>
      <c r="G91" s="17">
        <f>D91/E91</f>
        <v>0.28867513459481292</v>
      </c>
      <c r="H91" s="8">
        <v>1</v>
      </c>
      <c r="I91" s="17">
        <f>G91*H91</f>
        <v>0.28867513459481292</v>
      </c>
      <c r="J91" s="18">
        <f>I91^2</f>
        <v>8.3333333333333356E-2</v>
      </c>
      <c r="K91" s="285">
        <f>I91^4/F91</f>
        <v>1.3888888888888897E-4</v>
      </c>
    </row>
    <row r="92" spans="1:11" ht="13" x14ac:dyDescent="0.3">
      <c r="A92" s="284" t="s">
        <v>136</v>
      </c>
      <c r="B92" s="8" t="str">
        <f>D88</f>
        <v>l/min</v>
      </c>
      <c r="C92" s="14" t="s">
        <v>135</v>
      </c>
      <c r="D92" s="15">
        <f>'DB Gas Flow Analyzer'!N166</f>
        <v>5.0000000000000001E-3</v>
      </c>
      <c r="E92" s="16">
        <f>SQRT(3)</f>
        <v>1.7320508075688772</v>
      </c>
      <c r="F92" s="8">
        <f>1/2*(100/10)^2</f>
        <v>50</v>
      </c>
      <c r="G92" s="17">
        <f>D92/E92</f>
        <v>2.886751345948129E-3</v>
      </c>
      <c r="H92" s="8">
        <v>1</v>
      </c>
      <c r="I92" s="17">
        <f>G92*H92</f>
        <v>2.886751345948129E-3</v>
      </c>
      <c r="J92" s="18">
        <f>I92^2</f>
        <v>8.3333333333333337E-6</v>
      </c>
      <c r="K92" s="285">
        <f>I92^4/F92</f>
        <v>1.3888888888888891E-12</v>
      </c>
    </row>
    <row r="93" spans="1:11" ht="13" x14ac:dyDescent="0.3">
      <c r="A93" s="281" t="s">
        <v>137</v>
      </c>
      <c r="B93" s="8" t="str">
        <f>D88</f>
        <v>l/min</v>
      </c>
      <c r="C93" s="8" t="s">
        <v>135</v>
      </c>
      <c r="D93" s="19">
        <f>'DB Gas Flow Analyzer'!M170</f>
        <v>8.1620922535788121E-2</v>
      </c>
      <c r="E93" s="20">
        <f>SQRT(3)</f>
        <v>1.7320508075688772</v>
      </c>
      <c r="F93" s="8">
        <f>1/2*(100/10)^2</f>
        <v>50</v>
      </c>
      <c r="G93" s="21">
        <f>D93/E93</f>
        <v>4.7123861597542865E-2</v>
      </c>
      <c r="H93" s="8">
        <v>1</v>
      </c>
      <c r="I93" s="21">
        <f>G93*H93</f>
        <v>4.7123861597542865E-2</v>
      </c>
      <c r="J93" s="18">
        <f>I93^2</f>
        <v>2.2206583318643753E-3</v>
      </c>
      <c r="K93" s="18">
        <f>I93^4/F93</f>
        <v>9.8626468537573407E-8</v>
      </c>
    </row>
    <row r="94" spans="1:11" ht="13" x14ac:dyDescent="0.3">
      <c r="A94" s="286" t="s">
        <v>138</v>
      </c>
      <c r="B94" s="8" t="str">
        <f>D88</f>
        <v>l/min</v>
      </c>
      <c r="C94" s="14" t="s">
        <v>133</v>
      </c>
      <c r="D94" s="22">
        <f>'DB Gas Flow Analyzer'!K170</f>
        <v>0.24486276760736439</v>
      </c>
      <c r="E94" s="23">
        <v>2</v>
      </c>
      <c r="F94" s="8">
        <f>1/2*(100/10)^2</f>
        <v>50</v>
      </c>
      <c r="G94" s="17">
        <f>D94/E94</f>
        <v>0.12243138380368219</v>
      </c>
      <c r="H94" s="8">
        <v>1</v>
      </c>
      <c r="I94" s="17">
        <f>G94*H94</f>
        <v>0.12243138380368219</v>
      </c>
      <c r="J94" s="18">
        <f>I94^2</f>
        <v>1.4989443740084535E-2</v>
      </c>
      <c r="K94" s="18">
        <f>I94^4/F94</f>
        <v>4.4936684727431891E-6</v>
      </c>
    </row>
    <row r="95" spans="1:11" ht="13" x14ac:dyDescent="0.3">
      <c r="A95" s="286"/>
      <c r="B95" s="8"/>
      <c r="C95" s="8"/>
      <c r="D95" s="8"/>
      <c r="E95" s="20"/>
      <c r="F95" s="8"/>
      <c r="G95" s="21"/>
      <c r="H95" s="8"/>
      <c r="I95" s="21"/>
      <c r="J95" s="18"/>
      <c r="K95" s="18"/>
    </row>
    <row r="96" spans="1:11" ht="14" x14ac:dyDescent="0.3">
      <c r="A96" s="287" t="s">
        <v>139</v>
      </c>
      <c r="B96" s="24"/>
      <c r="C96" s="24"/>
      <c r="D96" s="24"/>
      <c r="E96" s="25"/>
      <c r="F96" s="24"/>
      <c r="G96" s="24"/>
      <c r="H96" s="24"/>
      <c r="I96" s="24"/>
      <c r="J96" s="26">
        <f>SUM(J90:J94)</f>
        <v>0.1005517687386156</v>
      </c>
      <c r="K96" s="13">
        <f>SUM(K90:K94)</f>
        <v>1.4348118521905864E-4</v>
      </c>
    </row>
    <row r="97" spans="1:11" ht="17" x14ac:dyDescent="0.45">
      <c r="A97" s="288" t="s">
        <v>140</v>
      </c>
      <c r="B97" s="27"/>
      <c r="C97" s="27"/>
      <c r="D97" s="27"/>
      <c r="E97" s="28"/>
      <c r="F97" s="27"/>
      <c r="G97" s="29" t="s">
        <v>141</v>
      </c>
      <c r="H97" s="27"/>
      <c r="I97" s="27"/>
      <c r="J97" s="30">
        <f>SQRT(J96)</f>
        <v>0.31709898886407001</v>
      </c>
      <c r="K97" s="289"/>
    </row>
    <row r="98" spans="1:11" ht="17.5" x14ac:dyDescent="0.45">
      <c r="A98" s="287" t="s">
        <v>142</v>
      </c>
      <c r="B98" s="31"/>
      <c r="C98" s="31"/>
      <c r="D98" s="31"/>
      <c r="E98" s="32"/>
      <c r="F98" s="31"/>
      <c r="G98" s="290" t="s">
        <v>143</v>
      </c>
      <c r="H98" s="31"/>
      <c r="I98" s="31"/>
      <c r="J98" s="26">
        <f>J97^4/(K96)</f>
        <v>70.466787551466595</v>
      </c>
      <c r="K98" s="291"/>
    </row>
    <row r="99" spans="1:11" ht="15.5" x14ac:dyDescent="0.35">
      <c r="A99" s="288" t="s">
        <v>144</v>
      </c>
      <c r="B99" s="27"/>
      <c r="C99" s="27"/>
      <c r="D99" s="27"/>
      <c r="E99" s="28"/>
      <c r="F99" s="27"/>
      <c r="G99" s="33" t="s">
        <v>145</v>
      </c>
      <c r="H99" s="27"/>
      <c r="I99" s="27"/>
      <c r="J99" s="34">
        <f>1.95996+(2.37356/J98)+(2.818745/J98^2)+(2.546662/J98^3)+(1.761829/J98^4)+(0.245458/J98^5)+(1.000764/J98^6)</f>
        <v>1.9942183937302622</v>
      </c>
      <c r="K99" s="289"/>
    </row>
    <row r="100" spans="1:11" ht="14" x14ac:dyDescent="0.3">
      <c r="A100" s="288" t="s">
        <v>146</v>
      </c>
      <c r="B100" s="35"/>
      <c r="C100" s="35"/>
      <c r="D100" s="35"/>
      <c r="E100" s="36"/>
      <c r="F100" s="35"/>
      <c r="G100" s="37" t="s">
        <v>147</v>
      </c>
      <c r="H100" s="35"/>
      <c r="I100" s="35"/>
      <c r="J100" s="236">
        <f>J97*J99</f>
        <v>0.63236463622599604</v>
      </c>
      <c r="K100" s="292" t="str">
        <f>D88</f>
        <v>l/min</v>
      </c>
    </row>
    <row r="101" spans="1:11" x14ac:dyDescent="0.25">
      <c r="A101" s="302"/>
      <c r="J101" s="241">
        <f>J100/C88*100</f>
        <v>2.1078821207533198</v>
      </c>
      <c r="K101" s="78" t="s">
        <v>120</v>
      </c>
    </row>
    <row r="102" spans="1:11" ht="13" x14ac:dyDescent="0.3">
      <c r="A102" s="303"/>
      <c r="B102" s="304"/>
      <c r="C102" s="305"/>
      <c r="D102" s="306"/>
      <c r="E102" s="304"/>
      <c r="F102" s="304"/>
      <c r="G102" s="304"/>
      <c r="H102" s="304"/>
      <c r="I102" s="304"/>
      <c r="J102" s="304"/>
      <c r="K102" s="307"/>
    </row>
  </sheetData>
  <mergeCells count="1">
    <mergeCell ref="A1:K2"/>
  </mergeCells>
  <printOptions horizontalCentered="1"/>
  <pageMargins left="0.19685039370078741" right="0.19685039370078741" top="0.23622047244094491" bottom="0.23622047244094491" header="0.15748031496062992" footer="0.15748031496062992"/>
  <pageSetup paperSize="9" scale="56" orientation="portrait" horizontalDpi="4294967294" verticalDpi="4294967293" r:id="rId1"/>
  <headerFooter>
    <oddHeader xml:space="preserve">&amp;R&amp;"-,Regular"&amp;8FV.UB 017-18 / REV : 0 </oddHead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AE71"/>
  <sheetViews>
    <sheetView showGridLines="0" view="pageBreakPreview" topLeftCell="A23" zoomScale="90" zoomScaleNormal="90" zoomScaleSheetLayoutView="90" workbookViewId="0">
      <selection activeCell="D33" sqref="D33:E34"/>
    </sheetView>
  </sheetViews>
  <sheetFormatPr defaultColWidth="9.1796875" defaultRowHeight="15.5" x14ac:dyDescent="0.25"/>
  <cols>
    <col min="1" max="1" width="4.7265625" style="112" customWidth="1"/>
    <col min="2" max="2" width="5.26953125" style="112" customWidth="1"/>
    <col min="3" max="3" width="17" style="112" customWidth="1"/>
    <col min="4" max="4" width="3.453125" style="112" customWidth="1"/>
    <col min="5" max="5" width="8.453125" style="112" customWidth="1"/>
    <col min="6" max="6" width="8.6328125" style="112" customWidth="1"/>
    <col min="7" max="7" width="6.1796875" style="112" customWidth="1"/>
    <col min="8" max="8" width="11.7265625" style="112" customWidth="1"/>
    <col min="9" max="9" width="13.1796875" style="187" customWidth="1"/>
    <col min="10" max="10" width="6.1796875" style="188" customWidth="1"/>
    <col min="11" max="11" width="8.7265625" style="188" customWidth="1"/>
    <col min="12" max="12" width="7.453125" style="112" customWidth="1"/>
    <col min="13" max="13" width="6.54296875" style="112" customWidth="1"/>
    <col min="14" max="14" width="7.1796875" style="112" customWidth="1"/>
    <col min="15" max="15" width="8.1796875" style="112" customWidth="1"/>
    <col min="16" max="16" width="9.1796875" style="112"/>
    <col min="17" max="17" width="14.453125" style="112" customWidth="1"/>
    <col min="18" max="18" width="15.26953125" style="112" customWidth="1"/>
    <col min="19" max="16384" width="9.1796875" style="112"/>
  </cols>
  <sheetData>
    <row r="1" spans="1:17" ht="18" x14ac:dyDescent="0.25">
      <c r="A1" s="892" t="s">
        <v>151</v>
      </c>
      <c r="B1" s="892"/>
      <c r="C1" s="892"/>
      <c r="D1" s="892"/>
      <c r="E1" s="892"/>
      <c r="F1" s="892"/>
      <c r="G1" s="892"/>
      <c r="H1" s="892"/>
      <c r="I1" s="892"/>
      <c r="J1" s="892"/>
      <c r="K1" s="892"/>
      <c r="L1" s="892"/>
      <c r="M1" s="892"/>
      <c r="N1" s="892"/>
      <c r="O1" s="892"/>
    </row>
    <row r="2" spans="1:17" ht="16.5" x14ac:dyDescent="0.25">
      <c r="A2" s="893" t="str">
        <f>ID!F2&amp;ID!M2&amp;ID!I2</f>
        <v>Nomor Sertifikat : 76 / 1 / I - 23 / E - 001.01 DL</v>
      </c>
      <c r="B2" s="893"/>
      <c r="C2" s="893"/>
      <c r="D2" s="893"/>
      <c r="E2" s="893"/>
      <c r="F2" s="893"/>
      <c r="G2" s="893"/>
      <c r="H2" s="893"/>
      <c r="I2" s="893"/>
      <c r="J2" s="893"/>
      <c r="K2" s="893"/>
      <c r="L2" s="893"/>
      <c r="M2" s="893"/>
      <c r="N2" s="893"/>
      <c r="O2" s="893"/>
    </row>
    <row r="4" spans="1:17" x14ac:dyDescent="0.25">
      <c r="A4" s="112" t="str">
        <f>ID!A4</f>
        <v>Merek</v>
      </c>
      <c r="D4" s="353" t="s">
        <v>9</v>
      </c>
      <c r="E4" s="112" t="str">
        <f>ID!E4</f>
        <v>SECHRIST</v>
      </c>
    </row>
    <row r="5" spans="1:17" x14ac:dyDescent="0.25">
      <c r="A5" s="112" t="str">
        <f>ID!A5</f>
        <v>Model/Tipe</v>
      </c>
      <c r="D5" s="353" t="s">
        <v>9</v>
      </c>
      <c r="E5" s="112" t="str">
        <f>ID!E5</f>
        <v>3500 HL</v>
      </c>
    </row>
    <row r="6" spans="1:17" x14ac:dyDescent="0.25">
      <c r="A6" s="112" t="str">
        <f>ID!A6</f>
        <v>No. Seri</v>
      </c>
      <c r="D6" s="353" t="s">
        <v>9</v>
      </c>
      <c r="E6" s="112" t="str">
        <f>ID!E6</f>
        <v>H73459</v>
      </c>
    </row>
    <row r="7" spans="1:17" x14ac:dyDescent="0.25">
      <c r="A7" s="112" t="str">
        <f>ID!A7</f>
        <v>Resolusi Flow</v>
      </c>
      <c r="D7" s="353" t="s">
        <v>9</v>
      </c>
      <c r="E7" s="904">
        <f>ID!E7</f>
        <v>1</v>
      </c>
      <c r="F7" s="904"/>
      <c r="G7" s="354"/>
    </row>
    <row r="8" spans="1:17" x14ac:dyDescent="0.25">
      <c r="A8" s="112" t="str">
        <f>ID!A8</f>
        <v>Tanggal Penerimaan Alat</v>
      </c>
      <c r="D8" s="353" t="str">
        <f>ID!D8</f>
        <v>:</v>
      </c>
      <c r="E8" s="909">
        <f>ID!E8</f>
        <v>44929</v>
      </c>
      <c r="F8" s="909"/>
      <c r="G8" s="354"/>
    </row>
    <row r="9" spans="1:17" x14ac:dyDescent="0.25">
      <c r="A9" s="112" t="str">
        <f>ID!A9</f>
        <v>Tanggal Kalibrasi</v>
      </c>
      <c r="D9" s="353" t="s">
        <v>9</v>
      </c>
      <c r="E9" s="909">
        <f>ID!E9</f>
        <v>44930</v>
      </c>
      <c r="F9" s="909"/>
      <c r="G9" s="354"/>
    </row>
    <row r="10" spans="1:17" x14ac:dyDescent="0.25">
      <c r="A10" s="112" t="str">
        <f>ID!A10</f>
        <v>Tempat Kalibrasi</v>
      </c>
      <c r="D10" s="353" t="s">
        <v>9</v>
      </c>
      <c r="E10" s="112" t="str">
        <f>ID!E10</f>
        <v>PICU</v>
      </c>
    </row>
    <row r="11" spans="1:17" x14ac:dyDescent="0.25">
      <c r="A11" s="112" t="str">
        <f>ID!A11</f>
        <v xml:space="preserve">Nama Ruang </v>
      </c>
      <c r="D11" s="353" t="s">
        <v>9</v>
      </c>
      <c r="E11" s="112" t="str">
        <f>ID!E11</f>
        <v>NICU</v>
      </c>
    </row>
    <row r="12" spans="1:17" x14ac:dyDescent="0.25">
      <c r="A12" s="112" t="s">
        <v>99</v>
      </c>
      <c r="D12" s="353" t="s">
        <v>9</v>
      </c>
      <c r="E12" s="112" t="str">
        <f>ID!E12</f>
        <v>FV.MK 14</v>
      </c>
    </row>
    <row r="13" spans="1:17" ht="14.25" customHeight="1" x14ac:dyDescent="0.25">
      <c r="I13" s="355"/>
      <c r="J13" s="355"/>
      <c r="K13" s="113"/>
      <c r="L13" s="113"/>
      <c r="M13" s="113"/>
      <c r="N13" s="113"/>
    </row>
    <row r="14" spans="1:17" x14ac:dyDescent="0.25">
      <c r="A14" s="113" t="str">
        <f>ID!A14</f>
        <v xml:space="preserve">I.     </v>
      </c>
      <c r="B14" s="113" t="str">
        <f>ID!B14</f>
        <v>Kondisi Ruang</v>
      </c>
      <c r="C14" s="113"/>
      <c r="D14" s="113"/>
      <c r="E14" s="113"/>
      <c r="F14" s="113"/>
      <c r="G14" s="113"/>
      <c r="H14" s="113"/>
      <c r="I14" s="356"/>
      <c r="J14" s="357"/>
      <c r="K14" s="357"/>
      <c r="L14" s="357"/>
      <c r="M14" s="357"/>
      <c r="N14" s="357"/>
    </row>
    <row r="15" spans="1:17" x14ac:dyDescent="0.25">
      <c r="B15" s="112" t="str">
        <f>ID!B15</f>
        <v xml:space="preserve">1. Suhu </v>
      </c>
      <c r="D15" s="353" t="s">
        <v>9</v>
      </c>
      <c r="E15" s="358" t="str">
        <f>'DB Thermohygro'!T381</f>
        <v>( 24.3 ± 0.5 ) °C</v>
      </c>
      <c r="F15" s="358"/>
      <c r="G15" s="358"/>
      <c r="I15" s="356"/>
      <c r="J15" s="357"/>
      <c r="K15" s="357"/>
      <c r="L15" s="357"/>
      <c r="M15" s="357"/>
      <c r="N15" s="357"/>
    </row>
    <row r="16" spans="1:17" x14ac:dyDescent="0.25">
      <c r="B16" s="112" t="str">
        <f>ID!B16</f>
        <v xml:space="preserve">2. Kelembaban </v>
      </c>
      <c r="D16" s="353" t="s">
        <v>9</v>
      </c>
      <c r="E16" s="358" t="str">
        <f>'DB Thermohygro'!T382</f>
        <v>( 56.6 ± 2.7 ) %RH</v>
      </c>
      <c r="F16" s="358"/>
      <c r="G16" s="358"/>
      <c r="I16" s="356"/>
      <c r="J16" s="357"/>
      <c r="K16" s="357"/>
      <c r="L16" s="357"/>
      <c r="M16" s="357"/>
      <c r="N16" s="357"/>
      <c r="Q16" s="189" t="s">
        <v>152</v>
      </c>
    </row>
    <row r="17" spans="1:31" x14ac:dyDescent="0.25">
      <c r="B17" s="112" t="str">
        <f>ID!B17</f>
        <v>3. Tegangan Jala-jala</v>
      </c>
      <c r="D17" s="353" t="s">
        <v>9</v>
      </c>
      <c r="E17" s="623" t="str">
        <f>'DB Kelistrikan'!H274</f>
        <v>( 217.3 ± 2.6 ) Volt</v>
      </c>
      <c r="F17" s="623"/>
      <c r="G17" s="623"/>
      <c r="I17" s="356"/>
      <c r="J17" s="357"/>
      <c r="K17" s="357"/>
      <c r="L17" s="357"/>
      <c r="M17" s="357"/>
      <c r="N17" s="357"/>
    </row>
    <row r="18" spans="1:31" ht="12.75" customHeight="1" x14ac:dyDescent="0.25">
      <c r="I18" s="356"/>
      <c r="J18" s="357"/>
      <c r="K18" s="357"/>
      <c r="L18" s="357"/>
      <c r="M18" s="357"/>
      <c r="N18" s="357"/>
    </row>
    <row r="19" spans="1:31" x14ac:dyDescent="0.25">
      <c r="A19" s="113" t="str">
        <f>ID!A19</f>
        <v xml:space="preserve">II.     </v>
      </c>
      <c r="B19" s="113" t="str">
        <f>ID!B19</f>
        <v>Pemeriksaan Kondisi Fisik dan Fungsi Alat</v>
      </c>
      <c r="C19" s="113"/>
      <c r="D19" s="113"/>
      <c r="E19" s="113"/>
      <c r="F19" s="113"/>
      <c r="G19" s="113"/>
      <c r="H19" s="113"/>
      <c r="I19" s="359"/>
      <c r="J19" s="359"/>
      <c r="K19" s="360"/>
      <c r="L19" s="360"/>
      <c r="M19" s="360"/>
      <c r="N19" s="360"/>
      <c r="O19" s="361" t="s">
        <v>24</v>
      </c>
    </row>
    <row r="20" spans="1:31" ht="14.25" customHeight="1" x14ac:dyDescent="0.2">
      <c r="A20" s="362"/>
      <c r="B20" s="363" t="str">
        <f>ID!B20</f>
        <v>1. Fisik</v>
      </c>
      <c r="D20" s="364" t="s">
        <v>9</v>
      </c>
      <c r="E20" s="220" t="str">
        <f>ID!E20</f>
        <v>Baik</v>
      </c>
      <c r="F20" s="365"/>
      <c r="G20" s="365"/>
      <c r="H20" s="365"/>
      <c r="I20" s="356"/>
      <c r="J20" s="357"/>
      <c r="K20" s="357"/>
      <c r="L20" s="357"/>
      <c r="M20" s="357"/>
      <c r="N20" s="357"/>
      <c r="O20" s="366">
        <f>IF(E20="baik",5,IF(E20="Tidak Baik",0))</f>
        <v>5</v>
      </c>
    </row>
    <row r="21" spans="1:31" ht="13.5" customHeight="1" x14ac:dyDescent="0.2">
      <c r="A21" s="367"/>
      <c r="B21" s="363" t="str">
        <f>ID!B21</f>
        <v>2. Fungsi</v>
      </c>
      <c r="D21" s="364" t="s">
        <v>9</v>
      </c>
      <c r="E21" s="220" t="str">
        <f>ID!E21</f>
        <v>Baik</v>
      </c>
      <c r="F21" s="221"/>
      <c r="G21" s="221"/>
      <c r="H21" s="221"/>
      <c r="I21" s="356"/>
      <c r="J21" s="357"/>
      <c r="K21" s="357"/>
      <c r="L21" s="357"/>
      <c r="M21" s="357"/>
      <c r="N21" s="357"/>
      <c r="O21" s="366">
        <f>IF(E21="baik",5,IF(E21="Tidak Baik",0))</f>
        <v>5</v>
      </c>
    </row>
    <row r="22" spans="1:31" ht="13.5" customHeight="1" x14ac:dyDescent="0.25">
      <c r="A22" s="367"/>
      <c r="B22" s="363"/>
      <c r="D22" s="364"/>
      <c r="E22" s="220"/>
      <c r="F22" s="221"/>
      <c r="G22" s="221"/>
      <c r="H22" s="221"/>
      <c r="I22" s="356"/>
      <c r="J22" s="357"/>
      <c r="K22" s="357"/>
      <c r="L22" s="357"/>
      <c r="M22" s="357"/>
      <c r="N22" s="357"/>
    </row>
    <row r="23" spans="1:31" ht="15" customHeight="1" x14ac:dyDescent="0.25">
      <c r="A23" s="368" t="str">
        <f>ID!A23</f>
        <v>III.</v>
      </c>
      <c r="B23" s="368" t="str">
        <f>ID!B23</f>
        <v>Pengujian Keselamatan Listrik</v>
      </c>
      <c r="D23" s="364"/>
      <c r="E23" s="220"/>
      <c r="F23" s="221"/>
      <c r="G23" s="221"/>
      <c r="H23" s="221"/>
      <c r="I23" s="356"/>
      <c r="J23" s="357"/>
      <c r="K23" s="357"/>
      <c r="L23" s="357"/>
      <c r="M23" s="357"/>
      <c r="N23" s="357"/>
      <c r="Q23" s="910" t="str">
        <f>IF(I27="-",T31,ID!S25)</f>
        <v>G</v>
      </c>
      <c r="R23" s="910"/>
      <c r="S23" s="911" t="s">
        <v>40</v>
      </c>
      <c r="T23" s="911" t="s">
        <v>328</v>
      </c>
      <c r="U23" s="911" t="s">
        <v>48</v>
      </c>
      <c r="V23" s="220"/>
      <c r="W23" s="912" t="str">
        <f>IF(OR(I27="-",Q23=T31),W24,IF(OR(T25&gt;U25,C27=W32),"",IF(I27&gt;J27,W25,"")))</f>
        <v/>
      </c>
      <c r="X23" s="912"/>
      <c r="Y23" s="912"/>
      <c r="Z23" s="912"/>
      <c r="AA23" s="912"/>
      <c r="AB23" s="912"/>
      <c r="AC23" s="912"/>
      <c r="AD23" s="912"/>
      <c r="AE23" s="912"/>
    </row>
    <row r="24" spans="1:31" ht="27" customHeight="1" x14ac:dyDescent="0.25">
      <c r="A24" s="367"/>
      <c r="B24" s="114" t="s">
        <v>30</v>
      </c>
      <c r="C24" s="885" t="s">
        <v>31</v>
      </c>
      <c r="D24" s="885"/>
      <c r="E24" s="885"/>
      <c r="F24" s="885"/>
      <c r="G24" s="885"/>
      <c r="H24" s="885"/>
      <c r="I24" s="114" t="s">
        <v>32</v>
      </c>
      <c r="J24" s="846" t="s">
        <v>33</v>
      </c>
      <c r="K24" s="848"/>
      <c r="M24" s="357"/>
      <c r="N24" s="361" t="s">
        <v>24</v>
      </c>
      <c r="O24" s="361"/>
      <c r="Q24" s="910"/>
      <c r="R24" s="910"/>
      <c r="S24" s="911"/>
      <c r="T24" s="911"/>
      <c r="U24" s="911"/>
      <c r="V24" s="220"/>
      <c r="W24" s="913" t="s">
        <v>267</v>
      </c>
      <c r="X24" s="913"/>
      <c r="Y24" s="913"/>
      <c r="Z24" s="913"/>
      <c r="AA24" s="913"/>
      <c r="AB24" s="913"/>
      <c r="AC24" s="913"/>
      <c r="AD24" s="913"/>
      <c r="AE24" s="913"/>
    </row>
    <row r="25" spans="1:31" ht="15" customHeight="1" x14ac:dyDescent="0.25">
      <c r="A25" s="367"/>
      <c r="B25" s="115">
        <v>1</v>
      </c>
      <c r="C25" s="170" t="str">
        <f>ID!C25</f>
        <v>Resistansi Isolasi</v>
      </c>
      <c r="D25" s="171"/>
      <c r="E25" s="171"/>
      <c r="F25" s="171"/>
      <c r="G25" s="171"/>
      <c r="H25" s="175"/>
      <c r="I25" s="369">
        <f>'DB Kelistrikan'!O269</f>
        <v>4.9866678000000002</v>
      </c>
      <c r="J25" s="235">
        <f>ID!K25</f>
        <v>2</v>
      </c>
      <c r="K25" s="119" t="s">
        <v>402</v>
      </c>
      <c r="M25" s="357"/>
      <c r="N25" s="919">
        <f>IF(OR(I27="-",O27=20),SUM(O25:O27),0)</f>
        <v>40</v>
      </c>
      <c r="O25" s="512">
        <f>IF(OR(I25="-",I25="OL",I25&gt;J25),10,0)</f>
        <v>10</v>
      </c>
      <c r="Q25" s="438" t="s">
        <v>326</v>
      </c>
      <c r="R25" s="439" t="s">
        <v>327</v>
      </c>
      <c r="S25" s="442">
        <f>ID!U27</f>
        <v>10</v>
      </c>
      <c r="T25" s="443">
        <f>'DB Kelistrikan'!O272</f>
        <v>16.974422621835711</v>
      </c>
      <c r="U25" s="441">
        <v>100</v>
      </c>
      <c r="V25" s="220"/>
      <c r="W25" s="913" t="s">
        <v>268</v>
      </c>
      <c r="X25" s="913"/>
      <c r="Y25" s="913"/>
      <c r="Z25" s="913"/>
      <c r="AA25" s="913"/>
      <c r="AB25" s="913"/>
      <c r="AC25" s="913"/>
      <c r="AD25" s="913"/>
      <c r="AE25" s="913"/>
    </row>
    <row r="26" spans="1:31" ht="15" customHeight="1" x14ac:dyDescent="0.25">
      <c r="A26" s="367"/>
      <c r="B26" s="120">
        <v>2</v>
      </c>
      <c r="C26" s="370" t="str">
        <f>ID!C26:H26</f>
        <v>Resistansi Pembumian Protektif (kabel dapat dilepas)</v>
      </c>
      <c r="D26" s="117"/>
      <c r="E26" s="117"/>
      <c r="F26" s="117"/>
      <c r="G26" s="117"/>
      <c r="H26" s="371"/>
      <c r="I26" s="372">
        <f>'DB Kelistrikan'!O270</f>
        <v>0.11830908753858273</v>
      </c>
      <c r="J26" s="905">
        <f>ID!K26</f>
        <v>0.2</v>
      </c>
      <c r="K26" s="906"/>
      <c r="M26" s="357"/>
      <c r="N26" s="920"/>
      <c r="O26" s="512">
        <f>IF(OR(I26="-",I26="OL",I26&lt;=J26,C26=W28),10,0)</f>
        <v>10</v>
      </c>
      <c r="Q26" s="220"/>
      <c r="R26" s="220"/>
      <c r="S26" s="220"/>
      <c r="T26" s="220"/>
      <c r="U26" s="220"/>
      <c r="V26" s="220"/>
      <c r="W26" s="220"/>
      <c r="X26" s="220"/>
      <c r="Y26" s="220"/>
      <c r="Z26" s="220"/>
      <c r="AA26" s="220"/>
      <c r="AB26" s="220"/>
      <c r="AC26" s="220"/>
      <c r="AD26" s="220"/>
      <c r="AE26" s="220"/>
    </row>
    <row r="27" spans="1:31" ht="15" customHeight="1" x14ac:dyDescent="0.25">
      <c r="A27" s="367"/>
      <c r="B27" s="122">
        <v>3</v>
      </c>
      <c r="C27" s="513" t="str">
        <f>ID!C27:G27</f>
        <v>Arus bocor peralatan untuk peralatan elektromedik kelas I</v>
      </c>
      <c r="D27" s="514"/>
      <c r="E27" s="514"/>
      <c r="F27" s="514"/>
      <c r="G27" s="514"/>
      <c r="H27" s="272"/>
      <c r="I27" s="373">
        <f>'DB Kelistrikan'!O271</f>
        <v>137.63999999999999</v>
      </c>
      <c r="J27" s="907">
        <f>ID!K27</f>
        <v>500</v>
      </c>
      <c r="K27" s="908"/>
      <c r="M27" s="357"/>
      <c r="N27" s="921"/>
      <c r="O27" s="512">
        <f>IF(Q31&lt;=R31,20,0)</f>
        <v>20</v>
      </c>
      <c r="Q27" s="220"/>
      <c r="R27" s="220"/>
      <c r="S27" s="220"/>
      <c r="T27" s="220"/>
      <c r="U27" s="220"/>
      <c r="V27" s="220"/>
      <c r="W27" s="220"/>
      <c r="X27" s="220"/>
      <c r="Y27" s="220"/>
      <c r="Z27" s="220"/>
      <c r="AA27" s="220"/>
      <c r="AB27" s="220"/>
      <c r="AC27" s="220"/>
      <c r="AD27" s="220"/>
      <c r="AE27" s="220"/>
    </row>
    <row r="28" spans="1:31" ht="15" customHeight="1" x14ac:dyDescent="0.25">
      <c r="A28" s="367"/>
      <c r="B28" s="363"/>
      <c r="D28" s="364"/>
      <c r="E28" s="220"/>
      <c r="F28" s="221"/>
      <c r="G28" s="221"/>
      <c r="H28" s="221"/>
      <c r="I28" s="356"/>
      <c r="J28" s="357"/>
      <c r="K28" s="357"/>
      <c r="L28" s="357"/>
      <c r="M28" s="357"/>
      <c r="N28" s="357"/>
      <c r="Q28" s="220"/>
      <c r="R28" s="220"/>
      <c r="S28" s="220"/>
      <c r="T28" s="220"/>
      <c r="U28" s="220"/>
      <c r="V28" s="220"/>
      <c r="W28" s="914" t="s">
        <v>258</v>
      </c>
      <c r="X28" s="915"/>
      <c r="Y28" s="915"/>
      <c r="Z28" s="915"/>
      <c r="AA28" s="915"/>
      <c r="AB28" s="915"/>
      <c r="AC28" s="916"/>
      <c r="AD28" s="220"/>
      <c r="AE28" s="220"/>
    </row>
    <row r="29" spans="1:31" ht="19.5" customHeight="1" x14ac:dyDescent="0.25">
      <c r="A29" s="368" t="str">
        <f>ID!A29</f>
        <v>IV.</v>
      </c>
      <c r="B29" s="368" t="str">
        <f>ID!B29</f>
        <v>Pengujian Kinerja</v>
      </c>
      <c r="C29" s="374"/>
      <c r="D29" s="364"/>
      <c r="E29" s="220"/>
      <c r="F29" s="221"/>
      <c r="G29" s="221"/>
      <c r="H29" s="221"/>
      <c r="I29" s="356"/>
      <c r="J29" s="357"/>
      <c r="K29" s="357"/>
      <c r="L29" s="357"/>
      <c r="M29" s="357"/>
      <c r="N29" s="357"/>
      <c r="Q29" s="911" t="s">
        <v>329</v>
      </c>
      <c r="R29" s="917" t="s">
        <v>48</v>
      </c>
      <c r="S29" s="220"/>
      <c r="T29" s="438" t="s">
        <v>330</v>
      </c>
      <c r="U29" s="220"/>
      <c r="V29" s="220"/>
      <c r="W29" s="444" t="s">
        <v>331</v>
      </c>
      <c r="X29" s="445"/>
      <c r="Y29" s="445"/>
      <c r="Z29" s="445"/>
      <c r="AA29" s="445"/>
      <c r="AB29" s="446"/>
      <c r="AC29" s="326">
        <v>0.2</v>
      </c>
      <c r="AD29" s="220" t="s">
        <v>332</v>
      </c>
      <c r="AE29" s="447"/>
    </row>
    <row r="30" spans="1:31" x14ac:dyDescent="0.25">
      <c r="A30" s="113"/>
      <c r="B30" s="113" t="str">
        <f>ID!B30</f>
        <v>A. Kalibrasi Akurasi Konsentrasi Oksigen</v>
      </c>
      <c r="Q30" s="911"/>
      <c r="R30" s="918"/>
      <c r="S30" s="220"/>
      <c r="T30" s="438" t="s">
        <v>107</v>
      </c>
      <c r="U30" s="220"/>
      <c r="V30" s="220"/>
      <c r="W30" s="448" t="s">
        <v>333</v>
      </c>
      <c r="X30" s="270"/>
      <c r="Y30" s="270"/>
      <c r="Z30" s="270"/>
      <c r="AA30" s="270"/>
      <c r="AB30" s="271"/>
      <c r="AC30" s="326">
        <v>0.3</v>
      </c>
      <c r="AD30" s="220" t="s">
        <v>334</v>
      </c>
      <c r="AE30" s="447"/>
    </row>
    <row r="31" spans="1:31" ht="20.25" customHeight="1" x14ac:dyDescent="0.25">
      <c r="A31" s="79"/>
      <c r="B31" s="842" t="s">
        <v>45</v>
      </c>
      <c r="C31" s="842" t="s">
        <v>31</v>
      </c>
      <c r="D31" s="885" t="str">
        <f>ID!D31</f>
        <v>Setting Alat</v>
      </c>
      <c r="E31" s="885"/>
      <c r="F31" s="885" t="s">
        <v>101</v>
      </c>
      <c r="G31" s="885"/>
      <c r="H31" s="884" t="s">
        <v>154</v>
      </c>
      <c r="I31" s="884" t="s">
        <v>48</v>
      </c>
      <c r="J31" s="885" t="s">
        <v>155</v>
      </c>
      <c r="K31" s="885"/>
      <c r="L31" s="375"/>
      <c r="N31" s="886" t="s">
        <v>156</v>
      </c>
      <c r="O31" s="886" t="s">
        <v>24</v>
      </c>
      <c r="Q31" s="443">
        <f>IF(OR(S25="",C27=W32,Q23=T31),I27,IF(I27&gt;J27,T25,I27))</f>
        <v>137.63999999999999</v>
      </c>
      <c r="R31" s="438">
        <f>IF(OR(S25="",C27=W32,Q23=T31),J27,IF(I27&gt;J27,U25,J27))</f>
        <v>500</v>
      </c>
      <c r="S31" s="220"/>
      <c r="T31" s="438" t="s">
        <v>266</v>
      </c>
      <c r="U31" s="220"/>
      <c r="V31" s="220"/>
      <c r="W31" s="449" t="s">
        <v>108</v>
      </c>
      <c r="X31" s="450"/>
      <c r="Y31" s="450"/>
      <c r="Z31" s="450"/>
      <c r="AA31" s="450"/>
      <c r="AB31" s="271"/>
      <c r="AC31" s="326">
        <v>500</v>
      </c>
      <c r="AD31" s="447"/>
      <c r="AE31" s="447"/>
    </row>
    <row r="32" spans="1:31" ht="19.5" customHeight="1" x14ac:dyDescent="0.25">
      <c r="A32" s="79"/>
      <c r="B32" s="843"/>
      <c r="C32" s="843"/>
      <c r="D32" s="885"/>
      <c r="E32" s="885"/>
      <c r="F32" s="885"/>
      <c r="G32" s="885"/>
      <c r="H32" s="884"/>
      <c r="I32" s="884"/>
      <c r="J32" s="885"/>
      <c r="K32" s="885"/>
      <c r="L32" s="375"/>
      <c r="N32" s="886"/>
      <c r="O32" s="886"/>
      <c r="Q32" s="220"/>
      <c r="R32" s="220"/>
      <c r="S32" s="220"/>
      <c r="T32" s="220"/>
      <c r="U32" s="220"/>
      <c r="V32" s="220"/>
      <c r="W32" s="449" t="s">
        <v>265</v>
      </c>
      <c r="X32" s="450"/>
      <c r="Y32" s="450"/>
      <c r="Z32" s="450"/>
      <c r="AA32" s="450"/>
      <c r="AB32" s="271"/>
      <c r="AC32" s="326">
        <v>100</v>
      </c>
      <c r="AD32" s="447"/>
      <c r="AE32" s="447"/>
    </row>
    <row r="33" spans="1:18" ht="17.25" customHeight="1" x14ac:dyDescent="0.25">
      <c r="A33" s="79"/>
      <c r="B33" s="835">
        <f>ID!B33</f>
        <v>1</v>
      </c>
      <c r="C33" s="835" t="str">
        <f>ID!C33</f>
        <v>Konsentrasi Oksigen (%)</v>
      </c>
      <c r="D33" s="903">
        <f>ID!D33</f>
        <v>21</v>
      </c>
      <c r="E33" s="903"/>
      <c r="F33" s="896">
        <f>'DB MAXTEC'!B4</f>
        <v>21.3</v>
      </c>
      <c r="G33" s="896"/>
      <c r="H33" s="376">
        <f>'DB MAXTEC'!F4</f>
        <v>0.30000000000000071</v>
      </c>
      <c r="I33" s="898">
        <f>ID!K33</f>
        <v>3</v>
      </c>
      <c r="J33" s="900">
        <f>UB!J16</f>
        <v>0.58243577561381232</v>
      </c>
      <c r="K33" s="900"/>
      <c r="L33" s="377"/>
      <c r="N33" s="378">
        <f>ABS('DB MAXTEC'!F4)</f>
        <v>0.30000000000000071</v>
      </c>
      <c r="O33" s="379">
        <f>IF(N33="-",7.5,IF(N33&lt;=3,7.5,IF(N33&gt;3,0)))</f>
        <v>7.5</v>
      </c>
    </row>
    <row r="34" spans="1:18" ht="17.25" customHeight="1" x14ac:dyDescent="0.25">
      <c r="A34" s="79"/>
      <c r="B34" s="837"/>
      <c r="C34" s="837"/>
      <c r="D34" s="903">
        <f>ID!D34</f>
        <v>60</v>
      </c>
      <c r="E34" s="903"/>
      <c r="F34" s="897">
        <f>'DB MAXTEC'!B5</f>
        <v>60.2</v>
      </c>
      <c r="G34" s="897"/>
      <c r="H34" s="380">
        <f>'DB MAXTEC'!F5</f>
        <v>0.20000000000000284</v>
      </c>
      <c r="I34" s="899"/>
      <c r="J34" s="901">
        <f>UB!J30</f>
        <v>0.58243577561381232</v>
      </c>
      <c r="K34" s="901"/>
      <c r="L34" s="377"/>
      <c r="N34" s="378">
        <f>ABS('DB MAXTEC'!F5)</f>
        <v>0.20000000000000284</v>
      </c>
      <c r="O34" s="379">
        <f>IF(N34="-",17.5,IF(N34&lt;=3,17.5,IF(N34&gt;3,0)))</f>
        <v>17.5</v>
      </c>
    </row>
    <row r="35" spans="1:18" ht="13.5" customHeight="1" x14ac:dyDescent="0.25">
      <c r="A35" s="204"/>
      <c r="B35" s="204"/>
      <c r="C35" s="204"/>
      <c r="D35" s="357"/>
      <c r="E35" s="357"/>
      <c r="F35" s="357"/>
      <c r="G35" s="357"/>
      <c r="H35" s="357"/>
      <c r="I35" s="357"/>
      <c r="J35" s="381"/>
      <c r="K35" s="382"/>
      <c r="L35" s="383"/>
      <c r="M35" s="384"/>
      <c r="N35" s="385"/>
      <c r="O35" s="386"/>
    </row>
    <row r="36" spans="1:18" ht="18.75" customHeight="1" thickBot="1" x14ac:dyDescent="0.3">
      <c r="A36" s="113"/>
      <c r="B36" s="113" t="str">
        <f>ID!B36</f>
        <v>B. Kalibrasi Akurasi Laju Aliran</v>
      </c>
      <c r="C36" s="79"/>
      <c r="D36" s="387"/>
      <c r="E36" s="387"/>
      <c r="F36" s="388"/>
      <c r="G36" s="388"/>
      <c r="H36" s="79"/>
      <c r="I36" s="79"/>
      <c r="J36" s="79"/>
      <c r="L36" s="375"/>
      <c r="N36" s="385"/>
      <c r="O36" s="386"/>
    </row>
    <row r="37" spans="1:18" ht="18" customHeight="1" x14ac:dyDescent="0.25">
      <c r="A37" s="79"/>
      <c r="B37" s="842" t="s">
        <v>45</v>
      </c>
      <c r="C37" s="842" t="s">
        <v>31</v>
      </c>
      <c r="D37" s="885" t="str">
        <f>ID!D37</f>
        <v>Setting Alat</v>
      </c>
      <c r="E37" s="885"/>
      <c r="F37" s="885" t="s">
        <v>101</v>
      </c>
      <c r="G37" s="885"/>
      <c r="H37" s="884" t="s">
        <v>154</v>
      </c>
      <c r="I37" s="884" t="s">
        <v>48</v>
      </c>
      <c r="J37" s="885" t="s">
        <v>155</v>
      </c>
      <c r="K37" s="885"/>
      <c r="L37" s="375"/>
      <c r="M37" s="375"/>
      <c r="N37" s="886" t="s">
        <v>157</v>
      </c>
      <c r="O37" s="886" t="s">
        <v>24</v>
      </c>
      <c r="Q37" s="866" t="str">
        <f>SCORING!A5</f>
        <v>KESIMPULAN PENGUJIAN KINERJA</v>
      </c>
      <c r="R37" s="867"/>
    </row>
    <row r="38" spans="1:18" ht="18" customHeight="1" thickBot="1" x14ac:dyDescent="0.3">
      <c r="A38" s="79"/>
      <c r="B38" s="843"/>
      <c r="C38" s="843"/>
      <c r="D38" s="885"/>
      <c r="E38" s="885"/>
      <c r="F38" s="885"/>
      <c r="G38" s="885"/>
      <c r="H38" s="884"/>
      <c r="I38" s="884"/>
      <c r="J38" s="885"/>
      <c r="K38" s="885"/>
      <c r="L38" s="375"/>
      <c r="M38" s="375"/>
      <c r="N38" s="886"/>
      <c r="O38" s="886"/>
      <c r="Q38" s="868"/>
      <c r="R38" s="869"/>
    </row>
    <row r="39" spans="1:18" ht="18" customHeight="1" x14ac:dyDescent="0.25">
      <c r="A39" s="79"/>
      <c r="B39" s="873">
        <f>ID!B39</f>
        <v>2</v>
      </c>
      <c r="C39" s="873" t="s">
        <v>58</v>
      </c>
      <c r="D39" s="887">
        <f>ID!D39</f>
        <v>10</v>
      </c>
      <c r="E39" s="887"/>
      <c r="F39" s="902">
        <f>'DB Gas Flow Analyzer'!C166</f>
        <v>10.023090842872554</v>
      </c>
      <c r="G39" s="902"/>
      <c r="H39" s="389">
        <f>'DB Gas Flow Analyzer'!G166</f>
        <v>2.3090842872553807E-2</v>
      </c>
      <c r="I39" s="870">
        <f>ID!K39</f>
        <v>10</v>
      </c>
      <c r="J39" s="526" t="s">
        <v>375</v>
      </c>
      <c r="K39" s="677">
        <f>UB!J44</f>
        <v>0.58879558868290016</v>
      </c>
      <c r="L39" s="375"/>
      <c r="M39" s="375"/>
      <c r="N39" s="390">
        <f>'DB Gas Flow Analyzer'!H166</f>
        <v>0.23090842872553807</v>
      </c>
      <c r="O39" s="391">
        <f>IF(N39="-",5,IF(N39&lt;=10,5,IF(N39&gt;10,0)))</f>
        <v>5</v>
      </c>
      <c r="Q39" s="252" t="s">
        <v>158</v>
      </c>
      <c r="R39" s="253" t="s">
        <v>159</v>
      </c>
    </row>
    <row r="40" spans="1:18" ht="18" customHeight="1" thickBot="1" x14ac:dyDescent="0.3">
      <c r="A40" s="79"/>
      <c r="B40" s="873"/>
      <c r="C40" s="873"/>
      <c r="D40" s="887">
        <f>ID!D40</f>
        <v>15</v>
      </c>
      <c r="E40" s="887"/>
      <c r="F40" s="902">
        <f>'DB Gas Flow Analyzer'!C167</f>
        <v>15.035934644087996</v>
      </c>
      <c r="G40" s="902"/>
      <c r="H40" s="389">
        <f>'DB Gas Flow Analyzer'!G167</f>
        <v>3.5934644087996404E-2</v>
      </c>
      <c r="I40" s="871"/>
      <c r="J40" s="527" t="s">
        <v>375</v>
      </c>
      <c r="K40" s="677">
        <f>UB!J58</f>
        <v>0.59639708319697304</v>
      </c>
      <c r="L40" s="375"/>
      <c r="M40" s="375"/>
      <c r="N40" s="390">
        <f>'DB Gas Flow Analyzer'!H167</f>
        <v>0.23956429391997605</v>
      </c>
      <c r="O40" s="391">
        <f>IF(N40="-",5,IF(N40&lt;=10,5,IF(N40&gt;10,0)))</f>
        <v>5</v>
      </c>
      <c r="Q40" s="254">
        <f>SCORING!B7</f>
        <v>50</v>
      </c>
      <c r="R40" s="255" t="str">
        <f>SCORING!C7</f>
        <v>PASS</v>
      </c>
    </row>
    <row r="41" spans="1:18" ht="18" customHeight="1" x14ac:dyDescent="0.25">
      <c r="A41" s="79"/>
      <c r="B41" s="873"/>
      <c r="C41" s="873"/>
      <c r="D41" s="887">
        <f>ID!D41</f>
        <v>20</v>
      </c>
      <c r="E41" s="887"/>
      <c r="F41" s="902">
        <f>'DB Gas Flow Analyzer'!C168</f>
        <v>20.048778445303437</v>
      </c>
      <c r="G41" s="902"/>
      <c r="H41" s="389">
        <f>'DB Gas Flow Analyzer'!G168</f>
        <v>4.8778445303437223E-2</v>
      </c>
      <c r="I41" s="871"/>
      <c r="J41" s="527" t="s">
        <v>375</v>
      </c>
      <c r="K41" s="677">
        <f>UB!J72</f>
        <v>0.60624419099898474</v>
      </c>
      <c r="L41" s="375"/>
      <c r="M41" s="375"/>
      <c r="N41" s="390">
        <f>'DB Gas Flow Analyzer'!H168</f>
        <v>0.24389222651718612</v>
      </c>
      <c r="O41" s="391">
        <f>IF(N41="-",5,IF(N41&lt;=10,5,IF(N41&gt;10,0)))</f>
        <v>5</v>
      </c>
      <c r="Q41" s="204"/>
    </row>
    <row r="42" spans="1:18" ht="18" customHeight="1" x14ac:dyDescent="0.25">
      <c r="A42" s="79"/>
      <c r="B42" s="873"/>
      <c r="C42" s="873"/>
      <c r="D42" s="887">
        <f>ID!D42</f>
        <v>25</v>
      </c>
      <c r="E42" s="887"/>
      <c r="F42" s="902">
        <f>'DB Gas Flow Analyzer'!C169</f>
        <v>25.06162224651888</v>
      </c>
      <c r="G42" s="902"/>
      <c r="H42" s="389">
        <f>'DB Gas Flow Analyzer'!G169</f>
        <v>6.162224651887982E-2</v>
      </c>
      <c r="I42" s="871"/>
      <c r="J42" s="527" t="s">
        <v>375</v>
      </c>
      <c r="K42" s="677">
        <f>UB!J86</f>
        <v>0.61826368623849615</v>
      </c>
      <c r="L42" s="375"/>
      <c r="M42" s="375"/>
      <c r="N42" s="390">
        <f>'DB Gas Flow Analyzer'!H169</f>
        <v>0.24648898607551928</v>
      </c>
      <c r="O42" s="391">
        <f>IF(N42="-",5,IF(N42&lt;=10,5,IF(N42&gt;10,0)))</f>
        <v>5</v>
      </c>
    </row>
    <row r="43" spans="1:18" ht="18" customHeight="1" x14ac:dyDescent="0.25">
      <c r="A43" s="79"/>
      <c r="B43" s="873"/>
      <c r="C43" s="873"/>
      <c r="D43" s="887">
        <f>ID!D43</f>
        <v>30</v>
      </c>
      <c r="E43" s="887"/>
      <c r="F43" s="902">
        <f>'DB Gas Flow Analyzer'!C170</f>
        <v>30.074466047734319</v>
      </c>
      <c r="G43" s="902"/>
      <c r="H43" s="389">
        <f>'DB Gas Flow Analyzer'!G170</f>
        <v>7.4466047734318863E-2</v>
      </c>
      <c r="I43" s="872"/>
      <c r="J43" s="528" t="s">
        <v>375</v>
      </c>
      <c r="K43" s="677">
        <f>UB!J100</f>
        <v>0.63236463622599604</v>
      </c>
      <c r="L43" s="375"/>
      <c r="M43" s="375"/>
      <c r="N43" s="390">
        <f>'DB Gas Flow Analyzer'!H170</f>
        <v>0.24822015911439621</v>
      </c>
      <c r="O43" s="391">
        <f>IF(N43="-",5,IF(N43&lt;=10,5,IF(N43&gt;10,0)))</f>
        <v>5</v>
      </c>
    </row>
    <row r="44" spans="1:18" ht="18" customHeight="1" x14ac:dyDescent="0.25">
      <c r="A44" s="79"/>
      <c r="B44" s="79"/>
      <c r="C44" s="79"/>
      <c r="D44" s="387"/>
      <c r="E44" s="387"/>
      <c r="F44" s="388"/>
      <c r="G44" s="388"/>
      <c r="H44" s="79"/>
      <c r="I44" s="79"/>
      <c r="J44" s="79"/>
      <c r="L44" s="375"/>
      <c r="M44" s="375"/>
      <c r="N44" s="385"/>
      <c r="O44" s="386"/>
    </row>
    <row r="45" spans="1:18" x14ac:dyDescent="0.25">
      <c r="A45" s="190" t="str">
        <f>ID!A45</f>
        <v>V.</v>
      </c>
      <c r="B45" s="190" t="str">
        <f>ID!B45</f>
        <v>Keterangan</v>
      </c>
      <c r="C45" s="191"/>
      <c r="D45" s="192"/>
      <c r="E45" s="191"/>
      <c r="F45" s="191"/>
      <c r="G45" s="191"/>
      <c r="H45" s="191"/>
      <c r="I45" s="193"/>
      <c r="J45" s="194"/>
      <c r="K45" s="194"/>
      <c r="L45" s="191"/>
      <c r="M45" s="191"/>
      <c r="N45" s="191"/>
      <c r="O45" s="191"/>
    </row>
    <row r="46" spans="1:18" x14ac:dyDescent="0.25">
      <c r="A46" s="190"/>
      <c r="B46" s="191" t="str">
        <f>ID!B46</f>
        <v>Ketidakpastian pengukuran dilaporkan pada tingkat kepercayaan 95% dengan faktor cakupan k = 2</v>
      </c>
      <c r="C46" s="191"/>
      <c r="D46" s="192"/>
      <c r="E46" s="191"/>
      <c r="F46" s="191"/>
      <c r="G46" s="191"/>
      <c r="H46" s="191"/>
      <c r="I46" s="193"/>
      <c r="J46" s="194"/>
      <c r="K46" s="194"/>
      <c r="L46" s="191"/>
      <c r="M46" s="191"/>
      <c r="N46" s="191"/>
      <c r="O46" s="191"/>
    </row>
    <row r="47" spans="1:18" x14ac:dyDescent="0.25">
      <c r="A47" s="190"/>
      <c r="B47" s="191" t="str">
        <f>ID!B47</f>
        <v xml:space="preserve">Ketidakpastian pengukuran diperoleh dari sumber ketidakpastian tipe A dan tipe B untuk konsentrasi O2  </v>
      </c>
      <c r="C47" s="191"/>
      <c r="D47" s="192"/>
      <c r="E47" s="191"/>
      <c r="F47" s="191"/>
      <c r="G47" s="191"/>
      <c r="H47" s="191"/>
      <c r="I47" s="193"/>
      <c r="J47" s="194"/>
      <c r="K47" s="194"/>
      <c r="L47" s="191"/>
      <c r="M47" s="191"/>
      <c r="N47" s="191"/>
      <c r="O47" s="191"/>
    </row>
    <row r="48" spans="1:18" x14ac:dyDescent="0.25">
      <c r="A48" s="190"/>
      <c r="B48" s="191" t="str">
        <f>ID!B48</f>
        <v>Hasil pengukuran keselamatan listrik tertelusur ke Satuan Internasional ( SI ) melalui PT. Kaliman (LK-032-IDN)</v>
      </c>
      <c r="C48" s="191"/>
      <c r="D48" s="192"/>
      <c r="E48" s="191"/>
      <c r="F48" s="191"/>
      <c r="G48" s="191"/>
      <c r="H48" s="191"/>
      <c r="I48" s="193"/>
      <c r="J48" s="194"/>
      <c r="K48" s="194"/>
      <c r="L48" s="191"/>
      <c r="M48" s="191"/>
      <c r="N48" s="191"/>
      <c r="O48" s="191"/>
    </row>
    <row r="49" spans="1:15" x14ac:dyDescent="0.25">
      <c r="A49" s="190"/>
      <c r="B49" s="191" t="str">
        <f>ID!B49</f>
        <v>Hasil kalibrasi flow tertelusur ke Satuan Internasional ( SI ) melalui Fluke Biomedical</v>
      </c>
      <c r="C49" s="191"/>
      <c r="D49" s="192"/>
      <c r="E49" s="191"/>
      <c r="F49" s="191"/>
      <c r="G49" s="191"/>
      <c r="H49" s="191"/>
      <c r="I49" s="193"/>
      <c r="J49" s="194"/>
      <c r="K49" s="194"/>
      <c r="L49" s="191"/>
      <c r="M49" s="191"/>
      <c r="N49" s="191"/>
      <c r="O49" s="191"/>
    </row>
    <row r="50" spans="1:15" x14ac:dyDescent="0.25">
      <c r="A50" s="190"/>
      <c r="B50" s="191" t="str">
        <f>ID!B50</f>
        <v>Pembacaan skala ditengah bola</v>
      </c>
      <c r="C50" s="191"/>
      <c r="D50" s="192"/>
      <c r="E50" s="191"/>
      <c r="G50" s="191"/>
      <c r="H50" s="191"/>
      <c r="I50" s="193"/>
      <c r="J50" s="194"/>
      <c r="K50" s="194"/>
      <c r="L50" s="191"/>
      <c r="M50" s="191"/>
      <c r="N50" s="191"/>
      <c r="O50" s="191"/>
    </row>
    <row r="51" spans="1:15" x14ac:dyDescent="0.25">
      <c r="A51" s="190"/>
      <c r="B51" s="191" t="str">
        <f>ID!B51</f>
        <v/>
      </c>
      <c r="C51" s="191"/>
      <c r="D51" s="192"/>
      <c r="E51" s="191"/>
      <c r="F51" s="191"/>
      <c r="G51" s="191"/>
      <c r="H51" s="191"/>
      <c r="I51" s="193"/>
      <c r="J51" s="194"/>
      <c r="K51" s="194"/>
      <c r="L51" s="191"/>
      <c r="M51" s="191"/>
      <c r="N51" s="191"/>
      <c r="O51" s="191"/>
    </row>
    <row r="52" spans="1:15" x14ac:dyDescent="0.25">
      <c r="A52" s="190"/>
      <c r="B52" s="191"/>
      <c r="C52" s="191"/>
      <c r="D52" s="192"/>
      <c r="E52" s="191"/>
      <c r="F52" s="191"/>
      <c r="G52" s="191"/>
      <c r="H52" s="191"/>
      <c r="I52" s="193"/>
      <c r="J52" s="194"/>
      <c r="K52" s="194"/>
      <c r="L52" s="191"/>
      <c r="M52" s="191"/>
      <c r="N52" s="191"/>
      <c r="O52" s="191"/>
    </row>
    <row r="53" spans="1:15" x14ac:dyDescent="0.25">
      <c r="A53" s="190" t="str">
        <f>ID!A53</f>
        <v>VI.</v>
      </c>
      <c r="B53" s="190" t="str">
        <f>ID!B53</f>
        <v>Alat Ukur Yang Digunakan</v>
      </c>
      <c r="C53" s="191"/>
      <c r="D53" s="191"/>
      <c r="E53" s="191"/>
      <c r="F53" s="191"/>
      <c r="G53" s="191"/>
      <c r="H53" s="191"/>
      <c r="I53" s="193"/>
      <c r="J53" s="194"/>
      <c r="K53" s="194"/>
      <c r="L53" s="191"/>
      <c r="M53" s="191"/>
      <c r="N53" s="191"/>
      <c r="O53" s="191"/>
    </row>
    <row r="54" spans="1:15" x14ac:dyDescent="0.25">
      <c r="A54" s="190"/>
      <c r="B54" s="401" t="str">
        <f>ID!B54</f>
        <v>Electrical Safety Analyzer, Merek : Fluke, Model : ESA 615, SN : 2853077</v>
      </c>
      <c r="C54" s="191"/>
      <c r="D54" s="191"/>
      <c r="E54" s="191"/>
      <c r="F54" s="191"/>
      <c r="G54" s="191"/>
      <c r="H54" s="191"/>
      <c r="I54" s="193"/>
      <c r="J54" s="194"/>
      <c r="K54" s="194"/>
      <c r="L54" s="191"/>
      <c r="M54" s="191"/>
      <c r="N54" s="191"/>
      <c r="O54" s="191"/>
    </row>
    <row r="55" spans="1:15" x14ac:dyDescent="0.25">
      <c r="A55" s="191"/>
      <c r="B55" s="401" t="str">
        <f>ID!B55</f>
        <v>Gas Flow Analyzer, Merek : Fluke, Model : VT305, SN : BF102142</v>
      </c>
      <c r="C55" s="191"/>
      <c r="D55" s="191"/>
      <c r="E55" s="191"/>
      <c r="F55" s="191"/>
      <c r="G55" s="191"/>
      <c r="H55" s="191"/>
      <c r="I55" s="193"/>
      <c r="J55" s="194"/>
      <c r="K55" s="194"/>
      <c r="L55" s="191"/>
      <c r="M55" s="191"/>
      <c r="N55" s="191"/>
      <c r="O55" s="191"/>
    </row>
    <row r="56" spans="1:15" x14ac:dyDescent="0.25">
      <c r="A56" s="191"/>
      <c r="B56" s="401" t="str">
        <f>ID!B56</f>
        <v>Oxygen Analyzer, Merek : Maxtec, Model : Max O2, SN : FJ32099002</v>
      </c>
      <c r="C56" s="191"/>
      <c r="D56" s="191"/>
      <c r="E56" s="191"/>
      <c r="F56" s="191"/>
      <c r="G56" s="191"/>
      <c r="H56" s="191"/>
      <c r="I56" s="193"/>
      <c r="J56" s="194"/>
      <c r="K56" s="194"/>
      <c r="L56" s="191"/>
      <c r="M56" s="191"/>
      <c r="N56" s="191"/>
      <c r="O56" s="191"/>
    </row>
    <row r="57" spans="1:15" x14ac:dyDescent="0.25">
      <c r="A57" s="191"/>
      <c r="B57" s="401" t="str">
        <f>ID!B57</f>
        <v>Thermohygrolight, Merek : EXTECH, Model : SD700, SN : A.100609</v>
      </c>
      <c r="C57" s="191"/>
      <c r="D57" s="191"/>
      <c r="E57" s="191"/>
      <c r="F57" s="191"/>
      <c r="G57" s="191"/>
      <c r="H57" s="191"/>
      <c r="I57" s="193"/>
      <c r="J57" s="194"/>
      <c r="K57" s="194"/>
      <c r="L57" s="191"/>
      <c r="M57" s="191"/>
      <c r="N57" s="191"/>
      <c r="O57" s="191"/>
    </row>
    <row r="58" spans="1:15" ht="12.75" customHeight="1" x14ac:dyDescent="0.25">
      <c r="A58" s="191"/>
      <c r="B58" s="401"/>
      <c r="C58" s="191"/>
      <c r="D58" s="191"/>
      <c r="E58" s="191"/>
      <c r="F58" s="191"/>
      <c r="G58" s="191"/>
      <c r="H58" s="191"/>
      <c r="I58" s="193"/>
      <c r="J58" s="194"/>
      <c r="K58" s="194"/>
      <c r="L58" s="191"/>
      <c r="M58" s="191"/>
      <c r="N58" s="191"/>
      <c r="O58" s="191"/>
    </row>
    <row r="59" spans="1:15" x14ac:dyDescent="0.25">
      <c r="A59" s="190" t="str">
        <f>ID!A59</f>
        <v>VII.</v>
      </c>
      <c r="B59" s="190" t="str">
        <f>ID!B59</f>
        <v>Kesimpulan</v>
      </c>
      <c r="C59" s="191"/>
      <c r="D59" s="191"/>
      <c r="E59" s="191"/>
      <c r="F59" s="191"/>
      <c r="G59" s="191"/>
      <c r="H59" s="191"/>
      <c r="I59" s="193"/>
      <c r="J59" s="194"/>
      <c r="K59" s="194"/>
      <c r="L59" s="191"/>
      <c r="M59" s="191"/>
      <c r="N59" s="191"/>
      <c r="O59" s="191"/>
    </row>
    <row r="60" spans="1:15" ht="15" customHeight="1" x14ac:dyDescent="0.25">
      <c r="A60" s="191"/>
      <c r="B60" s="874" t="str">
        <f>ID!B60</f>
        <v>Alat yang dikalibrasi dalam batas toleransi dan dinyatakan LAIK PAKAI, dimana hasil atau skor akhir sama dengan atau melampaui 70% berdasarkan Keputusan Direktur Jenderal Pelayanan Kesehatan No : HK.02.02/V/0412/2020.</v>
      </c>
      <c r="C60" s="874"/>
      <c r="D60" s="874"/>
      <c r="E60" s="874"/>
      <c r="F60" s="874"/>
      <c r="G60" s="874"/>
      <c r="H60" s="874"/>
      <c r="I60" s="874"/>
      <c r="J60" s="874"/>
      <c r="K60" s="874"/>
      <c r="L60" s="874"/>
      <c r="M60" s="874"/>
      <c r="N60" s="874"/>
      <c r="O60" s="874"/>
    </row>
    <row r="61" spans="1:15" x14ac:dyDescent="0.25">
      <c r="A61" s="191"/>
      <c r="B61" s="874"/>
      <c r="C61" s="874"/>
      <c r="D61" s="874"/>
      <c r="E61" s="874"/>
      <c r="F61" s="874"/>
      <c r="G61" s="874"/>
      <c r="H61" s="874"/>
      <c r="I61" s="874"/>
      <c r="J61" s="874"/>
      <c r="K61" s="874"/>
      <c r="L61" s="874"/>
      <c r="M61" s="874"/>
      <c r="N61" s="874"/>
      <c r="O61" s="874"/>
    </row>
    <row r="62" spans="1:15" x14ac:dyDescent="0.25">
      <c r="A62" s="191"/>
      <c r="B62" s="402"/>
      <c r="C62" s="402"/>
      <c r="D62" s="402"/>
      <c r="E62" s="402"/>
      <c r="F62" s="402"/>
      <c r="G62" s="402"/>
      <c r="H62" s="402"/>
      <c r="I62" s="402"/>
      <c r="J62" s="402"/>
      <c r="K62" s="402"/>
      <c r="L62" s="402"/>
      <c r="M62" s="402"/>
      <c r="N62" s="402"/>
      <c r="O62" s="402"/>
    </row>
    <row r="63" spans="1:15" x14ac:dyDescent="0.25">
      <c r="A63" s="190" t="str">
        <f>ID!A63</f>
        <v>VIII.</v>
      </c>
      <c r="B63" s="190" t="str">
        <f>ID!B63</f>
        <v>Petugas Kalibrasi</v>
      </c>
      <c r="C63" s="191"/>
      <c r="D63" s="191"/>
      <c r="E63" s="191"/>
      <c r="F63" s="191"/>
      <c r="G63" s="191"/>
      <c r="H63" s="191"/>
      <c r="I63" s="193"/>
      <c r="J63" s="194"/>
      <c r="K63" s="194"/>
      <c r="L63" s="191"/>
      <c r="M63" s="191"/>
      <c r="N63" s="191"/>
      <c r="O63" s="191"/>
    </row>
    <row r="64" spans="1:15" x14ac:dyDescent="0.25">
      <c r="A64" s="191"/>
      <c r="B64" s="191" t="str">
        <f>ID!B64</f>
        <v>Muhammad Irfan Husnuzhzhan</v>
      </c>
      <c r="C64" s="191"/>
      <c r="D64" s="191"/>
      <c r="E64" s="191"/>
      <c r="F64" s="191"/>
      <c r="G64" s="191"/>
      <c r="H64" s="191"/>
      <c r="I64" s="193"/>
      <c r="J64" s="194"/>
      <c r="K64" s="194"/>
      <c r="L64" s="191"/>
      <c r="M64" s="191"/>
      <c r="N64" s="191"/>
      <c r="O64" s="191"/>
    </row>
    <row r="68" spans="1:14" x14ac:dyDescent="0.25">
      <c r="A68" s="113"/>
      <c r="B68" s="113"/>
      <c r="C68" s="879" t="s">
        <v>160</v>
      </c>
      <c r="D68" s="880"/>
      <c r="E68" s="880"/>
      <c r="F68" s="880"/>
      <c r="G68" s="880"/>
      <c r="H68" s="881"/>
      <c r="I68" s="882" t="s">
        <v>87</v>
      </c>
      <c r="J68" s="883"/>
      <c r="K68" s="882" t="s">
        <v>161</v>
      </c>
      <c r="L68" s="883"/>
      <c r="M68" s="894" t="s">
        <v>153</v>
      </c>
      <c r="N68" s="895"/>
    </row>
    <row r="69" spans="1:14" x14ac:dyDescent="0.3">
      <c r="C69" s="392" t="str">
        <f>'DB Gas Flow Analyzer'!A217&amp;ID!M2&amp;ID!B64</f>
        <v>Dibuat : Muhammad Irfan Husnuzhzhan</v>
      </c>
      <c r="D69" s="393"/>
      <c r="E69" s="393"/>
      <c r="F69" s="393"/>
      <c r="G69" s="393"/>
      <c r="H69" s="394"/>
      <c r="I69" s="888" t="str">
        <f>ID!B67</f>
        <v>04/01/2023</v>
      </c>
      <c r="J69" s="889"/>
      <c r="K69" s="395"/>
      <c r="L69" s="396"/>
      <c r="M69" s="875">
        <f>SUM(O20:O21,N25,Q40)</f>
        <v>100</v>
      </c>
      <c r="N69" s="876"/>
    </row>
    <row r="70" spans="1:14" x14ac:dyDescent="0.3">
      <c r="A70" s="113"/>
      <c r="C70" s="397" t="s">
        <v>162</v>
      </c>
      <c r="D70" s="890"/>
      <c r="E70" s="890"/>
      <c r="F70" s="890"/>
      <c r="G70" s="890"/>
      <c r="H70" s="891"/>
      <c r="I70" s="879"/>
      <c r="J70" s="881"/>
      <c r="K70" s="398"/>
      <c r="L70" s="399"/>
      <c r="M70" s="877"/>
      <c r="N70" s="878"/>
    </row>
    <row r="71" spans="1:14" x14ac:dyDescent="0.25">
      <c r="A71" s="400"/>
    </row>
  </sheetData>
  <sheetProtection formatCells="0" formatColumns="0" formatRows="0" insertColumns="0" insertRows="0" insertHyperlinks="0" deleteColumns="0" deleteRows="0"/>
  <mergeCells count="70">
    <mergeCell ref="W25:AE25"/>
    <mergeCell ref="W28:AC28"/>
    <mergeCell ref="Q29:Q30"/>
    <mergeCell ref="R29:R30"/>
    <mergeCell ref="N25:N27"/>
    <mergeCell ref="Q23:R24"/>
    <mergeCell ref="S23:S24"/>
    <mergeCell ref="T23:T24"/>
    <mergeCell ref="U23:U24"/>
    <mergeCell ref="W23:AE23"/>
    <mergeCell ref="W24:AE24"/>
    <mergeCell ref="E7:F7"/>
    <mergeCell ref="C24:H24"/>
    <mergeCell ref="J24:K24"/>
    <mergeCell ref="F31:G32"/>
    <mergeCell ref="H31:H32"/>
    <mergeCell ref="I31:I32"/>
    <mergeCell ref="J31:K32"/>
    <mergeCell ref="D31:E32"/>
    <mergeCell ref="J26:K26"/>
    <mergeCell ref="J27:K27"/>
    <mergeCell ref="E8:F8"/>
    <mergeCell ref="E9:F9"/>
    <mergeCell ref="N31:N32"/>
    <mergeCell ref="O31:O32"/>
    <mergeCell ref="D33:E33"/>
    <mergeCell ref="D34:E34"/>
    <mergeCell ref="F37:G38"/>
    <mergeCell ref="H37:H38"/>
    <mergeCell ref="B33:B34"/>
    <mergeCell ref="C33:C34"/>
    <mergeCell ref="O37:O38"/>
    <mergeCell ref="B37:B38"/>
    <mergeCell ref="C37:C38"/>
    <mergeCell ref="D37:E38"/>
    <mergeCell ref="A1:O1"/>
    <mergeCell ref="A2:O2"/>
    <mergeCell ref="K68:L68"/>
    <mergeCell ref="M68:N68"/>
    <mergeCell ref="F33:G33"/>
    <mergeCell ref="F34:G34"/>
    <mergeCell ref="I33:I34"/>
    <mergeCell ref="J33:K33"/>
    <mergeCell ref="J34:K34"/>
    <mergeCell ref="F39:G39"/>
    <mergeCell ref="F40:G40"/>
    <mergeCell ref="F41:G41"/>
    <mergeCell ref="F42:G42"/>
    <mergeCell ref="F43:G43"/>
    <mergeCell ref="B31:B32"/>
    <mergeCell ref="C31:C32"/>
    <mergeCell ref="M69:N70"/>
    <mergeCell ref="C68:H68"/>
    <mergeCell ref="I68:J68"/>
    <mergeCell ref="I37:I38"/>
    <mergeCell ref="J37:K38"/>
    <mergeCell ref="N37:N38"/>
    <mergeCell ref="D42:E42"/>
    <mergeCell ref="D43:E43"/>
    <mergeCell ref="I70:J70"/>
    <mergeCell ref="I69:J69"/>
    <mergeCell ref="D70:H70"/>
    <mergeCell ref="D39:E39"/>
    <mergeCell ref="D40:E40"/>
    <mergeCell ref="D41:E41"/>
    <mergeCell ref="Q37:R38"/>
    <mergeCell ref="I39:I43"/>
    <mergeCell ref="B39:B43"/>
    <mergeCell ref="C39:C43"/>
    <mergeCell ref="B60:O61"/>
  </mergeCells>
  <phoneticPr fontId="0" type="noConversion"/>
  <dataValidations count="1">
    <dataValidation type="list" allowBlank="1" showInputMessage="1" showErrorMessage="1" sqref="E25:E26" xr:uid="{00000000-0002-0000-0300-000000000000}">
      <formula1>#REF!</formula1>
    </dataValidation>
  </dataValidations>
  <printOptions horizontalCentered="1"/>
  <pageMargins left="0.39370078740157499" right="0.23622047244094499" top="0.39370078740157499" bottom="0.23622047244094499" header="0.196850393700787" footer="0.15748031496063"/>
  <pageSetup paperSize="9" scale="70" orientation="portrait" horizontalDpi="4294967294" verticalDpi="4294967293" r:id="rId1"/>
  <headerFooter>
    <oddHeader>&amp;R&amp;9FV.LP 14 / REV : 0</oddHeader>
    <oddFooter>&amp;C&amp;"Arial,Bold"&amp;8&amp;K04+000SOFTWARE HFNC&amp;R&amp;9&amp;K01+014HFNC 30.8.2023</oddFooter>
    <firstHeader>&amp;C&amp;"Arial,Bold"&amp;12KEMENTERIAN KESEHATAN R.IDIREKTORAT JENDERAL BINA UPAYA KESEHATANLOKA PENGAMANAN FASILITAS KESEHATAN BANJARBARU</firstHead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3C59143A-0AD4-4726-BFF7-B5D3032AB9DC}">
            <x14:iconSet iconSet="3Symbols" custom="1">
              <x14:cfvo type="percent">
                <xm:f>0</xm:f>
              </x14:cfvo>
              <x14:cfvo type="num">
                <xm:f>70</xm:f>
              </x14:cfvo>
              <x14:cfvo type="num">
                <xm:f>70</xm:f>
              </x14:cfvo>
              <x14:cfIcon iconSet="3Symbols" iconId="0"/>
              <x14:cfIcon iconSet="3Symbols" iconId="0"/>
              <x14:cfIcon iconSet="3Symbols" iconId="2"/>
            </x14:iconSet>
          </x14:cfRule>
          <xm:sqref>M69:N70</xm:sqref>
        </x14:conditionalFormatting>
        <x14:conditionalFormatting xmlns:xm="http://schemas.microsoft.com/office/excel/2006/main">
          <x14:cfRule type="iconSet" priority="3" id="{3E5B03B8-65A1-42FD-8284-44657FBD0772}">
            <x14:iconSet iconSet="3Symbols2" custom="1">
              <x14:cfvo type="percent">
                <xm:f>0</xm:f>
              </x14:cfvo>
              <x14:cfvo type="num" gte="0">
                <xm:f>-3</xm:f>
              </x14:cfvo>
              <x14:cfvo type="num" gte="0">
                <xm:f>3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N33:N34</xm:sqref>
        </x14:conditionalFormatting>
        <x14:conditionalFormatting xmlns:xm="http://schemas.microsoft.com/office/excel/2006/main">
          <x14:cfRule type="iconSet" priority="7" id="{9F34AD2D-A8BE-47A9-B504-BB1DA46A3946}">
            <x14:iconSet iconSet="3Symbols2" custom="1">
              <x14:cfvo type="percent">
                <xm:f>0</xm:f>
              </x14:cfvo>
              <x14:cfvo type="num" gte="0">
                <xm:f>-10</xm:f>
              </x14:cfvo>
              <x14:cfvo type="num" gte="0">
                <xm:f>10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N39:N43</xm:sqref>
        </x14:conditionalFormatting>
        <x14:conditionalFormatting xmlns:xm="http://schemas.microsoft.com/office/excel/2006/main">
          <x14:cfRule type="iconSet" priority="6" id="{58051B49-8874-400D-8E31-9E8A8A92630D}">
            <x14:iconSet custom="1">
              <x14:cfvo type="percent">
                <xm:f>0</xm:f>
              </x14:cfvo>
              <x14:cfvo type="num">
                <xm:f>5</xm:f>
              </x14:cfvo>
              <x14:cfvo type="num">
                <xm:f>5</xm:f>
              </x14:cfvo>
              <x14:cfIcon iconSet="3Symbols" iconId="0"/>
              <x14:cfIcon iconSet="3Symbols" iconId="2"/>
              <x14:cfIcon iconSet="3Symbols" iconId="2"/>
            </x14:iconSet>
          </x14:cfRule>
          <xm:sqref>O20:O21</xm:sqref>
        </x14:conditionalFormatting>
        <x14:conditionalFormatting xmlns:xm="http://schemas.microsoft.com/office/excel/2006/main">
          <x14:cfRule type="iconSet" priority="5" id="{E3695E27-2733-4115-8EDD-E6C3598619C4}">
            <x14:iconSet custom="1">
              <x14:cfvo type="percent">
                <xm:f>0</xm:f>
              </x14:cfvo>
              <x14:cfvo type="num">
                <xm:f>10</xm:f>
              </x14:cfvo>
              <x14:cfvo type="num">
                <xm:f>10</xm:f>
              </x14:cfvo>
              <x14:cfIcon iconSet="3Symbols" iconId="0"/>
              <x14:cfIcon iconSet="3Symbols" iconId="2"/>
              <x14:cfIcon iconSet="3Symbols" iconId="2"/>
            </x14:iconSet>
          </x14:cfRule>
          <xm:sqref>O25:O26</xm:sqref>
        </x14:conditionalFormatting>
        <x14:conditionalFormatting xmlns:xm="http://schemas.microsoft.com/office/excel/2006/main">
          <x14:cfRule type="iconSet" priority="4" id="{31BFA9C7-122B-480B-836F-71E169133905}">
            <x14:iconSet custom="1">
              <x14:cfvo type="percent">
                <xm:f>0</xm:f>
              </x14:cfvo>
              <x14:cfvo type="num">
                <xm:f>20</xm:f>
              </x14:cfvo>
              <x14:cfvo type="num">
                <xm:f>20</xm:f>
              </x14:cfvo>
              <x14:cfIcon iconSet="3Symbols" iconId="0"/>
              <x14:cfIcon iconSet="3Symbols" iconId="2"/>
              <x14:cfIcon iconSet="3Symbols" iconId="2"/>
            </x14:iconSet>
          </x14:cfRule>
          <xm:sqref>O27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A141"/>
  <sheetViews>
    <sheetView showGridLines="0" view="pageBreakPreview" topLeftCell="C14" zoomScaleNormal="100" zoomScaleSheetLayoutView="100" workbookViewId="0">
      <selection activeCell="I26" sqref="I26"/>
    </sheetView>
  </sheetViews>
  <sheetFormatPr defaultColWidth="9.1796875" defaultRowHeight="14" x14ac:dyDescent="0.25"/>
  <cols>
    <col min="1" max="1" width="4.453125" style="79" customWidth="1"/>
    <col min="2" max="2" width="4.7265625" style="142" customWidth="1"/>
    <col min="3" max="3" width="16.81640625" style="142" customWidth="1"/>
    <col min="4" max="4" width="1.7265625" style="142" customWidth="1"/>
    <col min="5" max="5" width="9.7265625" style="142" customWidth="1"/>
    <col min="6" max="6" width="9.6328125" style="142" customWidth="1"/>
    <col min="7" max="7" width="9.7265625" style="142" customWidth="1"/>
    <col min="8" max="11" width="9.1796875" style="142"/>
    <col min="12" max="12" width="9.1796875" style="142" customWidth="1"/>
    <col min="13" max="13" width="9.1796875" style="142"/>
    <col min="14" max="14" width="4.1796875" style="142" customWidth="1"/>
    <col min="15" max="15" width="9.1796875" style="142"/>
    <col min="16" max="16" width="4.26953125" style="142" customWidth="1"/>
    <col min="17" max="16384" width="9.1796875" style="142"/>
  </cols>
  <sheetData>
    <row r="1" spans="1:16" ht="18" x14ac:dyDescent="0.25">
      <c r="A1" s="892" t="s">
        <v>93</v>
      </c>
      <c r="B1" s="892"/>
      <c r="C1" s="892"/>
      <c r="D1" s="892"/>
      <c r="E1" s="892"/>
      <c r="F1" s="892"/>
      <c r="G1" s="892"/>
      <c r="H1" s="892"/>
      <c r="I1" s="892"/>
      <c r="J1" s="892"/>
      <c r="K1" s="892"/>
      <c r="L1" s="892"/>
      <c r="M1" s="892"/>
      <c r="N1" s="141"/>
    </row>
    <row r="2" spans="1:16" ht="16.5" x14ac:dyDescent="0.25">
      <c r="B2" s="233"/>
      <c r="C2" s="233"/>
      <c r="D2" s="233"/>
      <c r="E2" s="233"/>
      <c r="F2" s="242" t="str">
        <f>'DB Gas Flow Analyzer'!A243</f>
        <v>Nomor Sertifikat : 76 /</v>
      </c>
      <c r="H2" s="535"/>
      <c r="I2" s="922" t="s">
        <v>385</v>
      </c>
      <c r="J2" s="922"/>
      <c r="K2" s="922"/>
      <c r="L2" s="922"/>
      <c r="M2" s="142" t="s">
        <v>94</v>
      </c>
    </row>
    <row r="3" spans="1:16" x14ac:dyDescent="0.25">
      <c r="I3" s="143"/>
      <c r="J3" s="144"/>
      <c r="K3" s="144"/>
    </row>
    <row r="4" spans="1:16" x14ac:dyDescent="0.25">
      <c r="A4" s="79" t="s">
        <v>2</v>
      </c>
      <c r="B4" s="79"/>
      <c r="D4" s="145" t="s">
        <v>9</v>
      </c>
      <c r="E4" s="146" t="s">
        <v>95</v>
      </c>
      <c r="F4" s="146"/>
      <c r="G4" s="146"/>
      <c r="H4" s="147"/>
      <c r="I4" s="143"/>
      <c r="J4" s="144"/>
      <c r="K4" s="144"/>
    </row>
    <row r="5" spans="1:16" x14ac:dyDescent="0.25">
      <c r="A5" s="79" t="s">
        <v>4</v>
      </c>
      <c r="B5" s="79"/>
      <c r="D5" s="145" t="s">
        <v>9</v>
      </c>
      <c r="E5" s="146" t="s">
        <v>96</v>
      </c>
      <c r="F5" s="146"/>
      <c r="G5" s="146"/>
      <c r="H5" s="147"/>
      <c r="I5" s="143"/>
      <c r="J5" s="144"/>
      <c r="K5" s="144"/>
    </row>
    <row r="6" spans="1:16" x14ac:dyDescent="0.25">
      <c r="A6" s="79" t="s">
        <v>5</v>
      </c>
      <c r="B6" s="79"/>
      <c r="D6" s="145" t="s">
        <v>9</v>
      </c>
      <c r="E6" s="146" t="s">
        <v>97</v>
      </c>
      <c r="F6" s="146"/>
      <c r="G6" s="146"/>
      <c r="H6" s="147"/>
      <c r="I6" s="143"/>
      <c r="J6" s="144"/>
      <c r="K6" s="144"/>
    </row>
    <row r="7" spans="1:16" x14ac:dyDescent="0.25">
      <c r="A7" s="79" t="str">
        <f>LK!A7</f>
        <v>Resolusi Flow</v>
      </c>
      <c r="B7" s="79"/>
      <c r="D7" s="145" t="s">
        <v>9</v>
      </c>
      <c r="E7" s="325">
        <v>1</v>
      </c>
      <c r="F7" s="148" t="s">
        <v>7</v>
      </c>
      <c r="G7" s="146"/>
      <c r="H7" s="147"/>
      <c r="I7" s="143"/>
      <c r="J7" s="144"/>
      <c r="K7" s="144"/>
    </row>
    <row r="8" spans="1:16" x14ac:dyDescent="0.25">
      <c r="A8" s="79" t="s">
        <v>98</v>
      </c>
      <c r="B8" s="79"/>
      <c r="D8" s="145" t="s">
        <v>9</v>
      </c>
      <c r="E8" s="923">
        <v>44929</v>
      </c>
      <c r="F8" s="923"/>
      <c r="G8" s="146"/>
      <c r="H8" s="147"/>
      <c r="I8" s="143"/>
      <c r="J8" s="144"/>
      <c r="K8" s="144"/>
    </row>
    <row r="9" spans="1:16" x14ac:dyDescent="0.25">
      <c r="A9" s="79" t="str">
        <f>LK!A8</f>
        <v>Tanggal Kalibrasi</v>
      </c>
      <c r="B9" s="79"/>
      <c r="D9" s="145" t="s">
        <v>9</v>
      </c>
      <c r="E9" s="923">
        <v>44930</v>
      </c>
      <c r="F9" s="923"/>
      <c r="G9" s="146"/>
      <c r="H9" s="147"/>
      <c r="I9" s="143"/>
      <c r="J9" s="144"/>
      <c r="K9" s="144"/>
    </row>
    <row r="10" spans="1:16" x14ac:dyDescent="0.25">
      <c r="A10" s="79" t="str">
        <f>LK!A9</f>
        <v>Tempat Kalibrasi</v>
      </c>
      <c r="B10" s="79"/>
      <c r="D10" s="145" t="s">
        <v>9</v>
      </c>
      <c r="E10" s="146" t="s">
        <v>387</v>
      </c>
      <c r="F10" s="146"/>
      <c r="G10" s="146"/>
      <c r="H10" s="147"/>
      <c r="I10" s="143"/>
      <c r="J10" s="144"/>
      <c r="K10" s="144"/>
    </row>
    <row r="11" spans="1:16" x14ac:dyDescent="0.25">
      <c r="A11" s="79" t="s">
        <v>11</v>
      </c>
      <c r="B11" s="79"/>
      <c r="D11" s="145" t="s">
        <v>9</v>
      </c>
      <c r="E11" s="146" t="s">
        <v>386</v>
      </c>
      <c r="F11" s="146"/>
      <c r="G11" s="146"/>
      <c r="H11" s="147"/>
      <c r="I11" s="143"/>
      <c r="J11" s="144"/>
      <c r="K11" s="144"/>
    </row>
    <row r="12" spans="1:16" x14ac:dyDescent="0.25">
      <c r="A12" s="79" t="s">
        <v>99</v>
      </c>
      <c r="B12" s="79"/>
      <c r="D12" s="145" t="s">
        <v>9</v>
      </c>
      <c r="E12" s="146" t="s">
        <v>100</v>
      </c>
      <c r="F12" s="146"/>
      <c r="G12" s="146"/>
      <c r="H12" s="147"/>
      <c r="I12" s="143"/>
      <c r="J12" s="144"/>
      <c r="K12" s="144"/>
    </row>
    <row r="13" spans="1:16" ht="15" customHeight="1" x14ac:dyDescent="0.25">
      <c r="B13" s="79"/>
      <c r="C13" s="79"/>
      <c r="D13" s="79"/>
      <c r="E13" s="79"/>
      <c r="F13" s="79"/>
      <c r="I13" s="143"/>
      <c r="J13" s="144"/>
      <c r="K13" s="144"/>
    </row>
    <row r="14" spans="1:16" ht="21" x14ac:dyDescent="0.25">
      <c r="A14" s="149" t="s">
        <v>12</v>
      </c>
      <c r="B14" s="149" t="s">
        <v>13</v>
      </c>
      <c r="D14" s="149"/>
      <c r="E14" s="62" t="s">
        <v>14</v>
      </c>
      <c r="F14" s="62" t="s">
        <v>15</v>
      </c>
      <c r="G14" s="150" t="s">
        <v>101</v>
      </c>
      <c r="H14" s="151"/>
      <c r="I14" s="152"/>
      <c r="J14" s="153"/>
      <c r="K14" s="153"/>
    </row>
    <row r="15" spans="1:16" ht="16.5" x14ac:dyDescent="0.25">
      <c r="B15" s="79" t="s">
        <v>16</v>
      </c>
      <c r="D15" s="145" t="s">
        <v>9</v>
      </c>
      <c r="E15" s="321">
        <v>24.3</v>
      </c>
      <c r="F15" s="322">
        <v>24.3</v>
      </c>
      <c r="G15" s="196">
        <f>'DB Thermohygro'!U377</f>
        <v>24.268188124306327</v>
      </c>
      <c r="H15" s="154" t="s">
        <v>102</v>
      </c>
      <c r="I15" s="143"/>
      <c r="J15" s="144"/>
      <c r="K15" s="144"/>
      <c r="P15" s="143"/>
    </row>
    <row r="16" spans="1:16" x14ac:dyDescent="0.25">
      <c r="B16" s="79" t="s">
        <v>103</v>
      </c>
      <c r="D16" s="145" t="s">
        <v>9</v>
      </c>
      <c r="E16" s="323">
        <v>56.2</v>
      </c>
      <c r="F16" s="324">
        <v>56.7</v>
      </c>
      <c r="G16" s="196">
        <f>'DB Thermohygro'!U378</f>
        <v>56.646369680851066</v>
      </c>
      <c r="H16" s="79" t="s">
        <v>104</v>
      </c>
      <c r="I16" s="143"/>
      <c r="J16" s="144"/>
      <c r="K16" s="144"/>
    </row>
    <row r="17" spans="1:27" x14ac:dyDescent="0.25">
      <c r="B17" s="79" t="s">
        <v>20</v>
      </c>
      <c r="D17" s="145" t="s">
        <v>9</v>
      </c>
      <c r="E17" s="320">
        <v>219.6</v>
      </c>
      <c r="F17" s="155" t="s">
        <v>21</v>
      </c>
      <c r="H17" s="79"/>
      <c r="I17" s="184"/>
      <c r="J17" s="144"/>
      <c r="K17" s="144"/>
    </row>
    <row r="18" spans="1:27" ht="12.75" customHeight="1" x14ac:dyDescent="0.25">
      <c r="B18" s="112"/>
      <c r="C18" s="112"/>
      <c r="D18" s="112"/>
      <c r="I18" s="143"/>
      <c r="J18" s="144"/>
      <c r="K18" s="144"/>
    </row>
    <row r="19" spans="1:27" ht="15.5" x14ac:dyDescent="0.25">
      <c r="A19" s="149" t="s">
        <v>22</v>
      </c>
      <c r="B19" s="149" t="s">
        <v>105</v>
      </c>
      <c r="C19" s="149"/>
      <c r="D19" s="149"/>
      <c r="E19" s="149"/>
      <c r="F19" s="149"/>
      <c r="G19" s="149"/>
      <c r="H19" s="113"/>
      <c r="I19" s="143"/>
      <c r="J19" s="144"/>
      <c r="K19" s="144"/>
    </row>
    <row r="20" spans="1:27" ht="15.75" customHeight="1" x14ac:dyDescent="0.3">
      <c r="A20" s="182"/>
      <c r="B20" s="79" t="s">
        <v>25</v>
      </c>
      <c r="C20" s="127"/>
      <c r="D20" s="173" t="s">
        <v>9</v>
      </c>
      <c r="E20" s="147" t="s">
        <v>106</v>
      </c>
      <c r="F20" s="127"/>
      <c r="G20" s="127"/>
      <c r="H20" s="127"/>
      <c r="I20" s="143"/>
      <c r="J20" s="144"/>
      <c r="K20" s="144"/>
      <c r="O20" s="79"/>
      <c r="P20" s="259"/>
      <c r="Q20" s="375"/>
      <c r="R20" s="375"/>
      <c r="S20" s="375"/>
      <c r="T20" s="375"/>
      <c r="U20" s="375"/>
      <c r="V20" s="375"/>
      <c r="W20" s="375"/>
      <c r="X20" s="375"/>
      <c r="Y20" s="375"/>
      <c r="Z20" s="375"/>
    </row>
    <row r="21" spans="1:27" ht="14.25" customHeight="1" x14ac:dyDescent="0.3">
      <c r="A21" s="182"/>
      <c r="B21" s="79" t="s">
        <v>27</v>
      </c>
      <c r="C21" s="127"/>
      <c r="D21" s="173" t="s">
        <v>9</v>
      </c>
      <c r="E21" s="147" t="s">
        <v>106</v>
      </c>
      <c r="F21" s="127"/>
      <c r="G21" s="127"/>
      <c r="H21" s="127"/>
      <c r="I21" s="143"/>
      <c r="J21" s="144"/>
      <c r="K21" s="144"/>
      <c r="O21" s="79"/>
      <c r="P21" s="259"/>
      <c r="Q21" s="375"/>
      <c r="R21" s="375"/>
      <c r="S21" s="375"/>
      <c r="T21" s="375"/>
      <c r="U21" s="375"/>
      <c r="V21" s="375"/>
      <c r="W21" s="375"/>
      <c r="X21" s="375"/>
      <c r="Y21" s="375"/>
      <c r="Z21" s="375"/>
    </row>
    <row r="22" spans="1:27" ht="14.25" customHeight="1" x14ac:dyDescent="0.3">
      <c r="A22" s="182"/>
      <c r="B22" s="79"/>
      <c r="C22" s="127"/>
      <c r="D22" s="173"/>
      <c r="F22" s="127"/>
      <c r="G22" s="127"/>
      <c r="H22" s="127"/>
      <c r="I22" s="143"/>
      <c r="J22" s="144"/>
      <c r="K22" s="144"/>
      <c r="O22" s="79"/>
      <c r="P22" s="259"/>
      <c r="Q22" s="79"/>
      <c r="R22" s="79"/>
    </row>
    <row r="23" spans="1:27" ht="14.25" customHeight="1" x14ac:dyDescent="0.3">
      <c r="A23" s="182" t="s">
        <v>28</v>
      </c>
      <c r="B23" s="149" t="s">
        <v>29</v>
      </c>
      <c r="C23" s="127"/>
      <c r="D23" s="173"/>
      <c r="F23" s="127"/>
      <c r="G23" s="127"/>
      <c r="H23" s="127"/>
      <c r="I23" s="143"/>
      <c r="J23" s="144"/>
      <c r="K23" s="144"/>
      <c r="O23" s="79"/>
      <c r="P23" s="259"/>
      <c r="Q23" s="79"/>
    </row>
    <row r="24" spans="1:27" ht="30" customHeight="1" x14ac:dyDescent="0.3">
      <c r="A24" s="182"/>
      <c r="B24" s="114" t="s">
        <v>30</v>
      </c>
      <c r="C24" s="885" t="s">
        <v>31</v>
      </c>
      <c r="D24" s="885"/>
      <c r="E24" s="885"/>
      <c r="F24" s="885"/>
      <c r="G24" s="885"/>
      <c r="H24" s="885"/>
      <c r="I24" s="846" t="s">
        <v>32</v>
      </c>
      <c r="J24" s="848"/>
      <c r="K24" s="846" t="s">
        <v>33</v>
      </c>
      <c r="L24" s="848"/>
      <c r="O24" s="433"/>
      <c r="P24" s="259"/>
    </row>
    <row r="25" spans="1:27" ht="14.25" customHeight="1" x14ac:dyDescent="0.3">
      <c r="A25" s="182"/>
      <c r="B25" s="115">
        <v>1</v>
      </c>
      <c r="C25" s="170" t="s">
        <v>34</v>
      </c>
      <c r="D25" s="171"/>
      <c r="E25" s="171"/>
      <c r="F25" s="171"/>
      <c r="G25" s="171"/>
      <c r="H25" s="175"/>
      <c r="I25" s="318">
        <v>5</v>
      </c>
      <c r="J25" s="118" t="s">
        <v>402</v>
      </c>
      <c r="K25" s="235">
        <v>2</v>
      </c>
      <c r="L25" s="119" t="s">
        <v>402</v>
      </c>
      <c r="O25" s="536"/>
      <c r="P25" s="259"/>
      <c r="S25" s="925" t="s">
        <v>107</v>
      </c>
      <c r="T25" s="925"/>
      <c r="U25" s="911" t="s">
        <v>40</v>
      </c>
      <c r="V25" s="911" t="s">
        <v>48</v>
      </c>
    </row>
    <row r="26" spans="1:27" ht="14.25" customHeight="1" x14ac:dyDescent="0.3">
      <c r="A26" s="182"/>
      <c r="B26" s="120">
        <v>2</v>
      </c>
      <c r="C26" s="933" t="s">
        <v>331</v>
      </c>
      <c r="D26" s="934"/>
      <c r="E26" s="934"/>
      <c r="F26" s="934"/>
      <c r="G26" s="934"/>
      <c r="H26" s="935"/>
      <c r="I26" s="319">
        <v>0.121</v>
      </c>
      <c r="J26" s="121" t="s">
        <v>37</v>
      </c>
      <c r="K26" s="939">
        <f>IF(C26=PENYELIA!W29,PENYELIA!AC29,PENYELIA!AC30)</f>
        <v>0.2</v>
      </c>
      <c r="L26" s="940"/>
      <c r="O26" s="536"/>
      <c r="P26" s="259"/>
      <c r="Q26" s="83"/>
      <c r="R26" s="234"/>
      <c r="S26" s="925"/>
      <c r="T26" s="925"/>
      <c r="U26" s="911"/>
      <c r="V26" s="911"/>
      <c r="W26" s="234"/>
      <c r="X26" s="234"/>
      <c r="Y26" s="234"/>
      <c r="Z26" s="234"/>
      <c r="AA26" s="234"/>
    </row>
    <row r="27" spans="1:27" ht="14.25" customHeight="1" x14ac:dyDescent="0.25">
      <c r="A27" s="182"/>
      <c r="B27" s="122">
        <v>3</v>
      </c>
      <c r="C27" s="936" t="s">
        <v>108</v>
      </c>
      <c r="D27" s="937"/>
      <c r="E27" s="937"/>
      <c r="F27" s="937"/>
      <c r="G27" s="937"/>
      <c r="H27" s="272"/>
      <c r="I27" s="317">
        <v>135</v>
      </c>
      <c r="J27" s="124" t="s">
        <v>40</v>
      </c>
      <c r="K27" s="941">
        <f>IF(C27=PENYELIA!W31,PENYELIA!AC31,PENYELIA!AC32)</f>
        <v>500</v>
      </c>
      <c r="L27" s="942"/>
      <c r="O27" s="536"/>
      <c r="P27" s="434"/>
      <c r="Q27" s="435"/>
      <c r="R27" s="434"/>
      <c r="S27" s="438" t="s">
        <v>326</v>
      </c>
      <c r="T27" s="439" t="s">
        <v>327</v>
      </c>
      <c r="U27" s="440">
        <v>10</v>
      </c>
      <c r="V27" s="441">
        <v>100</v>
      </c>
      <c r="X27" s="436"/>
      <c r="Y27" s="434"/>
      <c r="Z27" s="437"/>
    </row>
    <row r="28" spans="1:27" ht="14.25" customHeight="1" x14ac:dyDescent="0.25">
      <c r="A28" s="182"/>
      <c r="B28" s="79"/>
      <c r="C28" s="127"/>
      <c r="D28" s="173"/>
      <c r="F28" s="127"/>
      <c r="G28" s="127"/>
      <c r="H28" s="127"/>
      <c r="I28" s="143"/>
      <c r="J28" s="144"/>
      <c r="K28" s="174"/>
    </row>
    <row r="29" spans="1:27" ht="15.75" customHeight="1" x14ac:dyDescent="0.25">
      <c r="A29" s="182" t="str">
        <f>LK!A28</f>
        <v>IV.</v>
      </c>
      <c r="B29" s="149" t="str">
        <f>LK!B28</f>
        <v>Pengujian Kinerja</v>
      </c>
      <c r="C29" s="127"/>
      <c r="D29" s="173"/>
      <c r="F29" s="127"/>
      <c r="G29" s="127"/>
      <c r="H29" s="127"/>
      <c r="I29" s="143"/>
      <c r="J29" s="144"/>
      <c r="K29" s="174"/>
    </row>
    <row r="30" spans="1:27" ht="12.75" customHeight="1" x14ac:dyDescent="0.25">
      <c r="A30" s="149"/>
      <c r="B30" s="149" t="s">
        <v>44</v>
      </c>
      <c r="C30" s="79"/>
      <c r="D30" s="112"/>
      <c r="I30" s="143"/>
      <c r="J30" s="144"/>
      <c r="K30" s="144"/>
    </row>
    <row r="31" spans="1:27" ht="20.149999999999999" customHeight="1" x14ac:dyDescent="0.25">
      <c r="B31" s="842" t="s">
        <v>45</v>
      </c>
      <c r="C31" s="842" t="s">
        <v>31</v>
      </c>
      <c r="D31" s="885" t="s">
        <v>109</v>
      </c>
      <c r="E31" s="885"/>
      <c r="F31" s="846" t="s">
        <v>110</v>
      </c>
      <c r="G31" s="847"/>
      <c r="H31" s="847"/>
      <c r="I31" s="847"/>
      <c r="J31" s="848"/>
      <c r="K31" s="844" t="s">
        <v>48</v>
      </c>
      <c r="L31" s="841"/>
      <c r="M31" s="234"/>
      <c r="N31" s="234"/>
    </row>
    <row r="32" spans="1:27" ht="20.149999999999999" customHeight="1" x14ac:dyDescent="0.25">
      <c r="B32" s="843"/>
      <c r="C32" s="843"/>
      <c r="D32" s="885"/>
      <c r="E32" s="885"/>
      <c r="F32" s="84" t="s">
        <v>49</v>
      </c>
      <c r="G32" s="84" t="s">
        <v>50</v>
      </c>
      <c r="H32" s="84" t="s">
        <v>51</v>
      </c>
      <c r="I32" s="84" t="s">
        <v>52</v>
      </c>
      <c r="J32" s="84" t="s">
        <v>53</v>
      </c>
      <c r="K32" s="845"/>
      <c r="L32" s="841"/>
      <c r="M32" s="234"/>
      <c r="N32" s="234"/>
    </row>
    <row r="33" spans="1:14" ht="21.75" customHeight="1" x14ac:dyDescent="0.25">
      <c r="B33" s="835">
        <v>1</v>
      </c>
      <c r="C33" s="835" t="s">
        <v>54</v>
      </c>
      <c r="D33" s="928">
        <v>21</v>
      </c>
      <c r="E33" s="929"/>
      <c r="F33" s="314">
        <v>21.3</v>
      </c>
      <c r="G33" s="314">
        <v>21.3</v>
      </c>
      <c r="H33" s="314">
        <v>21.3</v>
      </c>
      <c r="I33" s="314">
        <v>21.3</v>
      </c>
      <c r="J33" s="314">
        <v>21.3</v>
      </c>
      <c r="K33" s="931">
        <v>3</v>
      </c>
      <c r="L33" s="83"/>
      <c r="M33" s="83"/>
      <c r="N33" s="83"/>
    </row>
    <row r="34" spans="1:14" ht="21.75" customHeight="1" x14ac:dyDescent="0.25">
      <c r="B34" s="837"/>
      <c r="C34" s="837"/>
      <c r="D34" s="930">
        <v>60</v>
      </c>
      <c r="E34" s="930"/>
      <c r="F34" s="316">
        <v>60.2</v>
      </c>
      <c r="G34" s="316">
        <v>60.2</v>
      </c>
      <c r="H34" s="316">
        <v>60.2</v>
      </c>
      <c r="I34" s="316">
        <v>60.2</v>
      </c>
      <c r="J34" s="316">
        <v>60.2</v>
      </c>
      <c r="K34" s="932"/>
      <c r="L34" s="938"/>
      <c r="M34" s="157"/>
      <c r="N34" s="158"/>
    </row>
    <row r="35" spans="1:14" ht="14.25" customHeight="1" x14ac:dyDescent="0.25">
      <c r="B35" s="172"/>
      <c r="C35" s="127"/>
      <c r="D35" s="159"/>
      <c r="F35" s="176"/>
      <c r="G35" s="176"/>
      <c r="H35" s="176"/>
      <c r="I35" s="177"/>
      <c r="J35" s="176"/>
      <c r="K35" s="87"/>
      <c r="L35" s="938"/>
      <c r="M35" s="157"/>
      <c r="N35" s="158"/>
    </row>
    <row r="36" spans="1:14" ht="14.25" customHeight="1" x14ac:dyDescent="0.3">
      <c r="A36" s="181"/>
      <c r="B36" s="181" t="s">
        <v>56</v>
      </c>
      <c r="C36" s="182"/>
      <c r="D36" s="128"/>
      <c r="F36" s="176"/>
      <c r="G36" s="176"/>
      <c r="H36" s="176"/>
      <c r="I36" s="177"/>
      <c r="J36" s="176"/>
      <c r="K36" s="87"/>
      <c r="L36" s="938"/>
      <c r="M36" s="157"/>
      <c r="N36" s="158"/>
    </row>
    <row r="37" spans="1:14" ht="22" customHeight="1" x14ac:dyDescent="0.25">
      <c r="B37" s="842" t="s">
        <v>45</v>
      </c>
      <c r="C37" s="842" t="s">
        <v>31</v>
      </c>
      <c r="D37" s="885" t="s">
        <v>109</v>
      </c>
      <c r="E37" s="885"/>
      <c r="F37" s="846" t="str">
        <f>LK!E36</f>
        <v xml:space="preserve"> Pembacaan pada Standar (L/min)</v>
      </c>
      <c r="G37" s="847"/>
      <c r="H37" s="847"/>
      <c r="I37" s="847"/>
      <c r="J37" s="848"/>
      <c r="K37" s="844" t="s">
        <v>48</v>
      </c>
      <c r="L37" s="938"/>
      <c r="M37" s="157"/>
      <c r="N37" s="158"/>
    </row>
    <row r="38" spans="1:14" ht="22" customHeight="1" x14ac:dyDescent="0.25">
      <c r="B38" s="843"/>
      <c r="C38" s="843"/>
      <c r="D38" s="885"/>
      <c r="E38" s="885"/>
      <c r="F38" s="84" t="s">
        <v>49</v>
      </c>
      <c r="G38" s="84" t="s">
        <v>50</v>
      </c>
      <c r="H38" s="84" t="s">
        <v>51</v>
      </c>
      <c r="I38" s="84" t="s">
        <v>52</v>
      </c>
      <c r="J38" s="84" t="s">
        <v>53</v>
      </c>
      <c r="K38" s="845"/>
      <c r="L38" s="938"/>
      <c r="M38" s="157"/>
      <c r="N38" s="158"/>
    </row>
    <row r="39" spans="1:14" ht="22" customHeight="1" x14ac:dyDescent="0.25">
      <c r="B39" s="873">
        <v>2</v>
      </c>
      <c r="C39" s="873" t="s">
        <v>58</v>
      </c>
      <c r="D39" s="943">
        <v>10</v>
      </c>
      <c r="E39" s="944"/>
      <c r="F39" s="314">
        <v>10</v>
      </c>
      <c r="G39" s="314">
        <v>10</v>
      </c>
      <c r="H39" s="314">
        <v>10</v>
      </c>
      <c r="I39" s="314">
        <v>10</v>
      </c>
      <c r="J39" s="314">
        <v>10</v>
      </c>
      <c r="K39" s="838">
        <v>10</v>
      </c>
      <c r="L39" s="938"/>
      <c r="M39" s="157"/>
      <c r="N39" s="158"/>
    </row>
    <row r="40" spans="1:14" ht="22" customHeight="1" x14ac:dyDescent="0.25">
      <c r="B40" s="873"/>
      <c r="C40" s="873"/>
      <c r="D40" s="945">
        <v>15</v>
      </c>
      <c r="E40" s="946"/>
      <c r="F40" s="315">
        <v>15</v>
      </c>
      <c r="G40" s="315">
        <v>15</v>
      </c>
      <c r="H40" s="315">
        <v>15</v>
      </c>
      <c r="I40" s="315">
        <v>15</v>
      </c>
      <c r="J40" s="315">
        <v>15</v>
      </c>
      <c r="K40" s="839"/>
      <c r="L40" s="938"/>
      <c r="M40" s="157"/>
      <c r="N40" s="158"/>
    </row>
    <row r="41" spans="1:14" ht="22" customHeight="1" x14ac:dyDescent="0.25">
      <c r="B41" s="873"/>
      <c r="C41" s="873"/>
      <c r="D41" s="945">
        <v>20</v>
      </c>
      <c r="E41" s="946"/>
      <c r="F41" s="315">
        <v>20</v>
      </c>
      <c r="G41" s="315">
        <v>20</v>
      </c>
      <c r="H41" s="315">
        <v>20</v>
      </c>
      <c r="I41" s="315">
        <v>20</v>
      </c>
      <c r="J41" s="315">
        <v>20</v>
      </c>
      <c r="K41" s="839"/>
      <c r="L41" s="938"/>
      <c r="M41" s="157"/>
      <c r="N41" s="158"/>
    </row>
    <row r="42" spans="1:14" ht="22" customHeight="1" x14ac:dyDescent="0.25">
      <c r="B42" s="873"/>
      <c r="C42" s="873"/>
      <c r="D42" s="945">
        <v>25</v>
      </c>
      <c r="E42" s="946"/>
      <c r="F42" s="315">
        <v>25</v>
      </c>
      <c r="G42" s="315">
        <v>25</v>
      </c>
      <c r="H42" s="315">
        <v>25</v>
      </c>
      <c r="I42" s="315">
        <v>25</v>
      </c>
      <c r="J42" s="315">
        <v>25</v>
      </c>
      <c r="K42" s="839"/>
      <c r="L42" s="938"/>
      <c r="M42" s="157"/>
      <c r="N42" s="158"/>
    </row>
    <row r="43" spans="1:14" ht="22" customHeight="1" x14ac:dyDescent="0.25">
      <c r="B43" s="873"/>
      <c r="C43" s="873"/>
      <c r="D43" s="947">
        <v>30</v>
      </c>
      <c r="E43" s="947"/>
      <c r="F43" s="316">
        <v>30</v>
      </c>
      <c r="G43" s="316">
        <v>30</v>
      </c>
      <c r="H43" s="316">
        <v>30</v>
      </c>
      <c r="I43" s="316">
        <v>30</v>
      </c>
      <c r="J43" s="316">
        <v>30</v>
      </c>
      <c r="K43" s="840"/>
      <c r="L43" s="938"/>
      <c r="M43" s="157"/>
      <c r="N43" s="158"/>
    </row>
    <row r="44" spans="1:14" ht="14.25" customHeight="1" x14ac:dyDescent="0.25">
      <c r="A44" s="128"/>
      <c r="B44" s="160"/>
      <c r="C44" s="159"/>
      <c r="D44" s="161"/>
      <c r="E44" s="161"/>
      <c r="F44" s="178"/>
      <c r="G44" s="178"/>
      <c r="H44" s="178"/>
      <c r="I44" s="179"/>
      <c r="J44" s="180"/>
      <c r="K44" s="87"/>
      <c r="L44" s="131"/>
      <c r="M44" s="157"/>
      <c r="N44" s="158"/>
    </row>
    <row r="45" spans="1:14" x14ac:dyDescent="0.25">
      <c r="A45" s="149" t="s">
        <v>59</v>
      </c>
      <c r="B45" s="149" t="s">
        <v>60</v>
      </c>
      <c r="C45" s="79"/>
      <c r="D45" s="162"/>
      <c r="I45" s="143"/>
      <c r="J45" s="144"/>
      <c r="K45" s="144"/>
    </row>
    <row r="46" spans="1:14" x14ac:dyDescent="0.25">
      <c r="A46" s="149"/>
      <c r="B46" s="79" t="s">
        <v>111</v>
      </c>
      <c r="C46" s="79"/>
      <c r="D46" s="162"/>
      <c r="I46" s="143"/>
      <c r="J46" s="144"/>
      <c r="K46" s="144"/>
    </row>
    <row r="47" spans="1:14" x14ac:dyDescent="0.25">
      <c r="A47" s="149"/>
      <c r="B47" s="79" t="s">
        <v>62</v>
      </c>
      <c r="C47" s="79"/>
      <c r="D47" s="162"/>
      <c r="I47" s="143"/>
      <c r="J47" s="144"/>
      <c r="K47" s="144"/>
    </row>
    <row r="48" spans="1:14" x14ac:dyDescent="0.25">
      <c r="A48" s="149"/>
      <c r="B48" s="388" t="str">
        <f>'DB Kelistrikan'!N311</f>
        <v>Hasil pengukuran keselamatan listrik tertelusur ke Satuan Internasional ( SI ) melalui PT. Kaliman (LK-032-IDN)</v>
      </c>
      <c r="C48" s="79"/>
      <c r="D48" s="162"/>
      <c r="I48" s="143"/>
      <c r="J48" s="144"/>
      <c r="K48" s="144"/>
    </row>
    <row r="49" spans="1:13" x14ac:dyDescent="0.25">
      <c r="A49" s="149"/>
      <c r="B49" s="79" t="str">
        <f>'DB Gas Flow Analyzer'!O236</f>
        <v>Hasil kalibrasi flow tertelusur ke Satuan Internasional ( SI ) melalui Fluke Biomedical</v>
      </c>
      <c r="C49" s="79"/>
      <c r="D49" s="162"/>
      <c r="I49" s="143"/>
      <c r="J49" s="144"/>
      <c r="K49" s="144"/>
    </row>
    <row r="50" spans="1:13" x14ac:dyDescent="0.25">
      <c r="A50" s="149"/>
      <c r="B50" s="948" t="s">
        <v>310</v>
      </c>
      <c r="C50" s="948"/>
      <c r="D50" s="948"/>
      <c r="E50" s="948"/>
      <c r="I50" s="143"/>
      <c r="J50" s="144"/>
      <c r="K50" s="144"/>
    </row>
    <row r="51" spans="1:13" x14ac:dyDescent="0.25">
      <c r="A51" s="149"/>
      <c r="B51" s="79" t="str">
        <f>PENYELIA!W23</f>
        <v/>
      </c>
      <c r="I51" s="143"/>
      <c r="J51" s="144"/>
      <c r="K51" s="144"/>
    </row>
    <row r="52" spans="1:13" x14ac:dyDescent="0.25">
      <c r="C52" s="220"/>
      <c r="D52" s="220"/>
      <c r="E52" s="220"/>
      <c r="F52" s="220"/>
      <c r="G52" s="220"/>
      <c r="H52" s="220"/>
      <c r="I52" s="163"/>
      <c r="J52" s="144"/>
      <c r="K52" s="144"/>
    </row>
    <row r="53" spans="1:13" x14ac:dyDescent="0.25">
      <c r="A53" s="164" t="s">
        <v>65</v>
      </c>
      <c r="B53" s="164" t="s">
        <v>66</v>
      </c>
      <c r="C53" s="165"/>
      <c r="D53" s="166"/>
      <c r="E53" s="156"/>
      <c r="F53" s="156"/>
      <c r="G53" s="156"/>
      <c r="H53" s="156"/>
      <c r="I53" s="152"/>
      <c r="J53" s="153"/>
      <c r="K53" s="167"/>
      <c r="L53" s="167"/>
      <c r="M53" s="167"/>
    </row>
    <row r="54" spans="1:13" x14ac:dyDescent="0.25">
      <c r="A54" s="164"/>
      <c r="B54" s="927" t="s">
        <v>259</v>
      </c>
      <c r="C54" s="927"/>
      <c r="D54" s="927"/>
      <c r="E54" s="927"/>
      <c r="F54" s="927"/>
      <c r="G54" s="927"/>
      <c r="H54" s="927"/>
      <c r="I54" s="927"/>
      <c r="J54" s="927"/>
      <c r="K54" s="167"/>
      <c r="L54" s="167"/>
      <c r="M54" s="167"/>
    </row>
    <row r="55" spans="1:13" x14ac:dyDescent="0.25">
      <c r="A55" s="164"/>
      <c r="B55" s="927" t="s">
        <v>315</v>
      </c>
      <c r="C55" s="927"/>
      <c r="D55" s="927"/>
      <c r="E55" s="927"/>
      <c r="F55" s="927"/>
      <c r="G55" s="927"/>
      <c r="H55" s="927"/>
      <c r="I55" s="927"/>
      <c r="J55" s="927"/>
      <c r="K55" s="167"/>
      <c r="L55" s="167"/>
      <c r="M55" s="167"/>
    </row>
    <row r="56" spans="1:13" x14ac:dyDescent="0.25">
      <c r="A56" s="164"/>
      <c r="B56" s="927" t="s">
        <v>319</v>
      </c>
      <c r="C56" s="927"/>
      <c r="D56" s="927"/>
      <c r="E56" s="927"/>
      <c r="F56" s="927"/>
      <c r="G56" s="927"/>
      <c r="H56" s="927"/>
      <c r="I56" s="927"/>
      <c r="J56" s="927"/>
      <c r="K56" s="167"/>
      <c r="L56" s="167"/>
      <c r="M56" s="167"/>
    </row>
    <row r="57" spans="1:13" x14ac:dyDescent="0.25">
      <c r="A57" s="164"/>
      <c r="B57" s="927" t="s">
        <v>220</v>
      </c>
      <c r="C57" s="927"/>
      <c r="D57" s="927"/>
      <c r="E57" s="927"/>
      <c r="F57" s="927"/>
      <c r="G57" s="927"/>
      <c r="H57" s="927"/>
      <c r="I57" s="927"/>
      <c r="J57" s="927"/>
      <c r="K57" s="167"/>
      <c r="L57" s="167"/>
      <c r="M57" s="167"/>
    </row>
    <row r="58" spans="1:13" ht="12.75" customHeight="1" x14ac:dyDescent="0.25">
      <c r="A58" s="164"/>
      <c r="B58" s="168"/>
      <c r="C58" s="165"/>
      <c r="D58" s="166"/>
      <c r="E58" s="156"/>
      <c r="F58" s="156"/>
      <c r="G58" s="156"/>
      <c r="H58" s="156"/>
      <c r="I58" s="152"/>
      <c r="J58" s="153"/>
      <c r="K58" s="167"/>
      <c r="L58" s="167"/>
      <c r="M58" s="167"/>
    </row>
    <row r="59" spans="1:13" x14ac:dyDescent="0.25">
      <c r="A59" s="164" t="s">
        <v>81</v>
      </c>
      <c r="B59" s="164" t="s">
        <v>82</v>
      </c>
      <c r="C59" s="165"/>
      <c r="D59" s="166"/>
      <c r="E59" s="156"/>
      <c r="F59" s="156"/>
      <c r="G59" s="156"/>
      <c r="H59" s="156"/>
      <c r="I59" s="152"/>
      <c r="J59" s="153"/>
      <c r="K59" s="167"/>
      <c r="L59" s="167"/>
      <c r="M59" s="167"/>
    </row>
    <row r="60" spans="1:13" ht="15" customHeight="1" x14ac:dyDescent="0.25">
      <c r="A60" s="164"/>
      <c r="B60" s="926" t="str">
        <f>'DB Gas Flow Analyzer'!A249</f>
        <v>Alat yang dikalibrasi dalam batas toleransi dan dinyatakan LAIK PAKAI, dimana hasil atau skor akhir sama dengan atau melampaui 70% berdasarkan Keputusan Direktur Jenderal Pelayanan Kesehatan No : HK.02.02/V/0412/2020.</v>
      </c>
      <c r="C60" s="926"/>
      <c r="D60" s="926"/>
      <c r="E60" s="926"/>
      <c r="F60" s="926"/>
      <c r="G60" s="926"/>
      <c r="H60" s="926"/>
      <c r="I60" s="926"/>
      <c r="J60" s="926"/>
      <c r="K60" s="926"/>
      <c r="L60" s="926"/>
      <c r="M60" s="926"/>
    </row>
    <row r="61" spans="1:13" x14ac:dyDescent="0.25">
      <c r="A61" s="164"/>
      <c r="B61" s="926"/>
      <c r="C61" s="926"/>
      <c r="D61" s="926"/>
      <c r="E61" s="926"/>
      <c r="F61" s="926"/>
      <c r="G61" s="926"/>
      <c r="H61" s="926"/>
      <c r="I61" s="926"/>
      <c r="J61" s="926"/>
      <c r="K61" s="926"/>
      <c r="L61" s="926"/>
      <c r="M61" s="926"/>
    </row>
    <row r="62" spans="1:13" ht="12" customHeight="1" x14ac:dyDescent="0.25">
      <c r="A62" s="164"/>
      <c r="B62" s="79"/>
      <c r="C62" s="165"/>
      <c r="D62" s="166"/>
      <c r="E62" s="156"/>
      <c r="F62" s="156"/>
      <c r="G62" s="156"/>
      <c r="H62" s="156"/>
      <c r="I62" s="152"/>
      <c r="J62" s="153"/>
      <c r="K62" s="167"/>
      <c r="L62" s="167"/>
      <c r="M62" s="167"/>
    </row>
    <row r="63" spans="1:13" x14ac:dyDescent="0.25">
      <c r="A63" s="149" t="s">
        <v>84</v>
      </c>
      <c r="B63" s="149" t="s">
        <v>85</v>
      </c>
      <c r="C63" s="79"/>
      <c r="D63" s="79"/>
      <c r="I63" s="143"/>
      <c r="J63" s="144"/>
      <c r="K63" s="144"/>
    </row>
    <row r="64" spans="1:13" x14ac:dyDescent="0.25">
      <c r="B64" s="927" t="s">
        <v>298</v>
      </c>
      <c r="C64" s="927"/>
      <c r="D64" s="927"/>
      <c r="E64" s="927"/>
      <c r="I64" s="143"/>
      <c r="J64" s="144"/>
      <c r="K64" s="144"/>
    </row>
    <row r="65" spans="1:11" ht="7.5" customHeight="1" x14ac:dyDescent="0.25">
      <c r="B65" s="168"/>
      <c r="C65" s="79"/>
      <c r="D65" s="79"/>
      <c r="I65" s="143"/>
      <c r="J65" s="144"/>
      <c r="K65" s="144"/>
    </row>
    <row r="66" spans="1:11" x14ac:dyDescent="0.25">
      <c r="A66" s="149" t="s">
        <v>117</v>
      </c>
      <c r="B66" s="149" t="s">
        <v>118</v>
      </c>
      <c r="C66" s="149"/>
      <c r="D66" s="79"/>
    </row>
    <row r="67" spans="1:11" x14ac:dyDescent="0.25">
      <c r="B67" s="924" t="s">
        <v>443</v>
      </c>
      <c r="C67" s="924"/>
      <c r="D67" s="79"/>
    </row>
    <row r="107" spans="9:10" x14ac:dyDescent="0.25">
      <c r="J107" s="169"/>
    </row>
    <row r="111" spans="9:10" x14ac:dyDescent="0.25">
      <c r="I111" s="144"/>
    </row>
    <row r="112" spans="9:10" x14ac:dyDescent="0.25">
      <c r="I112" s="144"/>
    </row>
    <row r="113" spans="2:9" x14ac:dyDescent="0.25">
      <c r="I113" s="144"/>
    </row>
    <row r="114" spans="2:9" x14ac:dyDescent="0.25">
      <c r="I114" s="144"/>
    </row>
    <row r="115" spans="2:9" x14ac:dyDescent="0.25">
      <c r="I115" s="144"/>
    </row>
    <row r="116" spans="2:9" x14ac:dyDescent="0.25">
      <c r="I116" s="144"/>
    </row>
    <row r="117" spans="2:9" x14ac:dyDescent="0.25">
      <c r="I117" s="144"/>
    </row>
    <row r="118" spans="2:9" x14ac:dyDescent="0.25">
      <c r="B118" s="103"/>
      <c r="I118" s="144"/>
    </row>
    <row r="119" spans="2:9" x14ac:dyDescent="0.25">
      <c r="I119" s="144"/>
    </row>
    <row r="120" spans="2:9" x14ac:dyDescent="0.25">
      <c r="I120" s="144"/>
    </row>
    <row r="121" spans="2:9" x14ac:dyDescent="0.25">
      <c r="I121" s="144"/>
    </row>
    <row r="122" spans="2:9" x14ac:dyDescent="0.25">
      <c r="I122" s="144"/>
    </row>
    <row r="123" spans="2:9" x14ac:dyDescent="0.25">
      <c r="I123" s="144"/>
    </row>
    <row r="124" spans="2:9" x14ac:dyDescent="0.25">
      <c r="I124" s="144"/>
    </row>
    <row r="125" spans="2:9" x14ac:dyDescent="0.25">
      <c r="I125" s="144"/>
    </row>
    <row r="126" spans="2:9" x14ac:dyDescent="0.25">
      <c r="I126" s="144"/>
    </row>
    <row r="127" spans="2:9" x14ac:dyDescent="0.25">
      <c r="I127" s="144"/>
    </row>
    <row r="128" spans="2:9" x14ac:dyDescent="0.25">
      <c r="I128" s="144"/>
    </row>
    <row r="129" spans="2:9" x14ac:dyDescent="0.25">
      <c r="I129" s="144"/>
    </row>
    <row r="130" spans="2:9" x14ac:dyDescent="0.25">
      <c r="I130" s="144"/>
    </row>
    <row r="131" spans="2:9" x14ac:dyDescent="0.25">
      <c r="I131" s="144"/>
    </row>
    <row r="132" spans="2:9" x14ac:dyDescent="0.25">
      <c r="I132" s="144"/>
    </row>
    <row r="133" spans="2:9" x14ac:dyDescent="0.25">
      <c r="B133" s="525"/>
      <c r="I133" s="144"/>
    </row>
    <row r="134" spans="2:9" x14ac:dyDescent="0.25">
      <c r="B134" s="525"/>
      <c r="I134" s="144"/>
    </row>
    <row r="135" spans="2:9" x14ac:dyDescent="0.25">
      <c r="B135" s="525"/>
      <c r="I135" s="144"/>
    </row>
    <row r="136" spans="2:9" x14ac:dyDescent="0.25">
      <c r="B136" s="537"/>
      <c r="I136" s="144"/>
    </row>
    <row r="137" spans="2:9" x14ac:dyDescent="0.25">
      <c r="B137" s="537"/>
      <c r="I137" s="144"/>
    </row>
    <row r="138" spans="2:9" x14ac:dyDescent="0.25">
      <c r="B138" s="537"/>
      <c r="I138" s="144"/>
    </row>
    <row r="139" spans="2:9" x14ac:dyDescent="0.25">
      <c r="B139" s="525"/>
      <c r="I139" s="144"/>
    </row>
    <row r="140" spans="2:9" x14ac:dyDescent="0.25">
      <c r="B140" s="525"/>
      <c r="I140" s="144"/>
    </row>
    <row r="141" spans="2:9" x14ac:dyDescent="0.25">
      <c r="I141" s="144"/>
    </row>
  </sheetData>
  <mergeCells count="47">
    <mergeCell ref="K26:L26"/>
    <mergeCell ref="K27:L27"/>
    <mergeCell ref="B54:J54"/>
    <mergeCell ref="D37:E38"/>
    <mergeCell ref="D39:E39"/>
    <mergeCell ref="D40:E40"/>
    <mergeCell ref="D41:E41"/>
    <mergeCell ref="D42:E42"/>
    <mergeCell ref="D43:E43"/>
    <mergeCell ref="F37:J37"/>
    <mergeCell ref="B37:B38"/>
    <mergeCell ref="C37:C38"/>
    <mergeCell ref="B39:B43"/>
    <mergeCell ref="C39:C43"/>
    <mergeCell ref="B50:E50"/>
    <mergeCell ref="U25:U26"/>
    <mergeCell ref="V25:V26"/>
    <mergeCell ref="K39:K43"/>
    <mergeCell ref="A1:M1"/>
    <mergeCell ref="K31:K32"/>
    <mergeCell ref="C31:C32"/>
    <mergeCell ref="B31:B32"/>
    <mergeCell ref="D31:E32"/>
    <mergeCell ref="C24:H24"/>
    <mergeCell ref="I24:J24"/>
    <mergeCell ref="K24:L24"/>
    <mergeCell ref="L31:L32"/>
    <mergeCell ref="F31:J31"/>
    <mergeCell ref="C26:H26"/>
    <mergeCell ref="C27:G27"/>
    <mergeCell ref="L34:L43"/>
    <mergeCell ref="I2:L2"/>
    <mergeCell ref="E8:F8"/>
    <mergeCell ref="E9:F9"/>
    <mergeCell ref="B67:C67"/>
    <mergeCell ref="S25:T26"/>
    <mergeCell ref="B60:M61"/>
    <mergeCell ref="B64:E64"/>
    <mergeCell ref="B55:J55"/>
    <mergeCell ref="B56:J56"/>
    <mergeCell ref="K37:K38"/>
    <mergeCell ref="B57:J57"/>
    <mergeCell ref="C33:C34"/>
    <mergeCell ref="B33:B34"/>
    <mergeCell ref="D33:E33"/>
    <mergeCell ref="D34:E34"/>
    <mergeCell ref="K33:K34"/>
  </mergeCells>
  <dataValidations count="1">
    <dataValidation type="list" allowBlank="1" showInputMessage="1" showErrorMessage="1" sqref="E28:E29 E22:E23 E25" xr:uid="{00000000-0002-0000-0100-000000000000}">
      <formula1>#REF!</formula1>
    </dataValidation>
  </dataValidations>
  <printOptions horizontalCentered="1"/>
  <pageMargins left="0.511811023622047" right="0.23622047244094499" top="0.511811023622047" bottom="0.23622047244094499" header="0.196850393700787" footer="0.118110236220472"/>
  <pageSetup paperSize="9" scale="70" orientation="portrait" horizontalDpi="4294967294" verticalDpi="4294967293" r:id="rId1"/>
  <headerFooter>
    <oddHeader>&amp;R&amp;"-,Regular"&amp;8FV.ID 14 / REV : 0</oddHeader>
    <firstHeader xml:space="preserve">&amp;C&amp;"Arial,Bold"&amp;12KEMENTERIAN  KESEHATAN REPUBLIK INDONESIA         DIREKTORAT JENDERAL BINA UPAYA KESEHATAN         LOKA PENGAMANAN FASILITAS KESEHATAN BANJARBARU         </firstHeader>
  </headerFooter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100-000001000000}">
          <x14:formula1>
            <xm:f>'DB Gas Flow Analyzer'!$A$220:$A$235</xm:f>
          </x14:formula1>
          <xm:sqref>B55:J55</xm:sqref>
        </x14:dataValidation>
        <x14:dataValidation type="list" allowBlank="1" showInputMessage="1" showErrorMessage="1" xr:uid="{00000000-0002-0000-0100-000006000000}">
          <x14:formula1>
            <xm:f>'DB Gas Flow Analyzer'!$A$168:$A$193</xm:f>
          </x14:formula1>
          <xm:sqref>B64:E64</xm:sqref>
        </x14:dataValidation>
        <x14:dataValidation type="list" allowBlank="1" showInputMessage="1" showErrorMessage="1" xr:uid="{00000000-0002-0000-0100-000007000000}">
          <x14:formula1>
            <xm:f>'DB MAXTEC'!$A$8:$A$12</xm:f>
          </x14:formula1>
          <xm:sqref>B56:J56</xm:sqref>
        </x14:dataValidation>
        <x14:dataValidation type="list" allowBlank="1" showInputMessage="1" showErrorMessage="1" xr:uid="{00000000-0002-0000-0100-000002000000}">
          <x14:formula1>
            <xm:f>'DB Thermohygro'!$A$393:$A$412</xm:f>
          </x14:formula1>
          <xm:sqref>B57:J57</xm:sqref>
        </x14:dataValidation>
        <x14:dataValidation type="list" allowBlank="1" showInputMessage="1" showErrorMessage="1" xr:uid="{00000000-0002-0000-0100-000005000000}">
          <x14:formula1>
            <xm:f>PENYELIA!$W$31:$W$32</xm:f>
          </x14:formula1>
          <xm:sqref>C27:G27</xm:sqref>
        </x14:dataValidation>
        <x14:dataValidation type="list" allowBlank="1" showInputMessage="1" showErrorMessage="1" xr:uid="{3DE13951-1C21-4603-BC60-28985A4FAB95}">
          <x14:formula1>
            <xm:f>PENYELIA!$W$29:$W$30</xm:f>
          </x14:formula1>
          <xm:sqref>C26:H26</xm:sqref>
        </x14:dataValidation>
        <x14:dataValidation type="list" allowBlank="1" showInputMessage="1" showErrorMessage="1" xr:uid="{3278C5FC-6D10-4DD3-ABEE-BD3B3A9E33D9}">
          <x14:formula1>
            <xm:f>'DB Kelistrikan'!$A$299:$A$310</xm:f>
          </x14:formula1>
          <xm:sqref>B54:J54</xm:sqref>
        </x14:dataValidation>
        <x14:dataValidation type="list" allowBlank="1" showInputMessage="1" showErrorMessage="1" xr:uid="{90A1CA33-E400-44BC-81D4-456719E1C79C}">
          <x14:formula1>
            <xm:f>'DB Kelistrikan'!$A$334:$A$335</xm:f>
          </x14:formula1>
          <xm:sqref>O25:O27</xm:sqref>
        </x14:dataValidation>
        <x14:dataValidation type="list" allowBlank="1" showInputMessage="1" showErrorMessage="1" xr:uid="{0E312342-A069-4B46-886C-F40CB3A6C48A}">
          <x14:formula1>
            <xm:f>'DB Gas Flow Analyzer'!$A$195:$A$196</xm:f>
          </x14:formula1>
          <xm:sqref>E20:E21</xm:sqref>
        </x14:dataValidation>
        <x14:dataValidation type="list" allowBlank="1" showInputMessage="1" showErrorMessage="1" xr:uid="{40C5164E-DE05-4F0B-B7A3-3DEB7E765AE6}">
          <x14:formula1>
            <xm:f>'DB Gas Flow Analyzer'!$A$213:$A$215</xm:f>
          </x14:formula1>
          <xm:sqref>B50:E50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pageSetUpPr fitToPage="1"/>
  </sheetPr>
  <dimension ref="A1:N90"/>
  <sheetViews>
    <sheetView showGridLines="0" tabSelected="1" view="pageBreakPreview" topLeftCell="A16" zoomScale="80" zoomScaleNormal="80" zoomScaleSheetLayoutView="80" workbookViewId="0">
      <selection activeCell="H25" sqref="H25"/>
    </sheetView>
  </sheetViews>
  <sheetFormatPr defaultColWidth="9.1796875" defaultRowHeight="15.5" x14ac:dyDescent="0.25"/>
  <cols>
    <col min="1" max="1" width="5" style="210" customWidth="1"/>
    <col min="2" max="2" width="5.1796875" style="210" customWidth="1"/>
    <col min="3" max="3" width="15.453125" style="210" customWidth="1"/>
    <col min="4" max="4" width="5" style="210" customWidth="1"/>
    <col min="5" max="5" width="9.81640625" style="210" customWidth="1"/>
    <col min="6" max="6" width="13" style="210" customWidth="1"/>
    <col min="7" max="7" width="13.1796875" style="210" customWidth="1"/>
    <col min="8" max="8" width="12" style="210" customWidth="1"/>
    <col min="9" max="9" width="9.453125" style="210" customWidth="1"/>
    <col min="10" max="10" width="9" style="210" customWidth="1"/>
    <col min="11" max="11" width="3.81640625" style="210" customWidth="1"/>
    <col min="12" max="12" width="6.7265625" style="210" customWidth="1"/>
    <col min="13" max="13" width="6.81640625" style="210" customWidth="1"/>
    <col min="14" max="16384" width="9.1796875" style="210"/>
  </cols>
  <sheetData>
    <row r="1" spans="1:14" ht="18" x14ac:dyDescent="0.25">
      <c r="A1" s="955" t="str">
        <f>PENYELIA!A1:M1</f>
        <v>Hasil Kalibrasi HFNC</v>
      </c>
      <c r="B1" s="955"/>
      <c r="C1" s="955"/>
      <c r="D1" s="955"/>
      <c r="E1" s="955"/>
      <c r="F1" s="955"/>
      <c r="G1" s="955"/>
      <c r="H1" s="955"/>
      <c r="I1" s="955"/>
      <c r="J1" s="955"/>
      <c r="K1" s="955"/>
      <c r="L1" s="955"/>
      <c r="M1" s="955"/>
      <c r="N1" s="232"/>
    </row>
    <row r="2" spans="1:14" ht="16.5" x14ac:dyDescent="0.25">
      <c r="A2" s="956" t="str">
        <f>ID!F2&amp;ID!M2&amp;ID!I2</f>
        <v>Nomor Sertifikat : 76 / 1 / I - 23 / E - 001.01 DL</v>
      </c>
      <c r="B2" s="956"/>
      <c r="C2" s="956"/>
      <c r="D2" s="956"/>
      <c r="E2" s="956"/>
      <c r="F2" s="956"/>
      <c r="G2" s="956"/>
      <c r="H2" s="956"/>
      <c r="I2" s="956"/>
      <c r="J2" s="956"/>
      <c r="K2" s="956"/>
      <c r="L2" s="956"/>
      <c r="M2" s="956"/>
      <c r="N2" s="233"/>
    </row>
    <row r="4" spans="1:14" x14ac:dyDescent="0.25">
      <c r="A4" s="220" t="str">
        <f>PENYELIA!A4</f>
        <v>Merek</v>
      </c>
      <c r="B4" s="220"/>
      <c r="C4" s="220"/>
      <c r="D4" s="403" t="str">
        <f>PENYELIA!D4</f>
        <v>:</v>
      </c>
      <c r="E4" s="220" t="str">
        <f>PENYELIA!E4</f>
        <v>SECHRIST</v>
      </c>
      <c r="F4" s="220"/>
      <c r="G4" s="220"/>
      <c r="H4" s="220"/>
      <c r="I4" s="220"/>
      <c r="J4" s="220"/>
      <c r="K4" s="220"/>
      <c r="L4" s="220"/>
      <c r="M4" s="220"/>
      <c r="N4" s="220"/>
    </row>
    <row r="5" spans="1:14" x14ac:dyDescent="0.25">
      <c r="A5" s="220" t="str">
        <f>PENYELIA!A5</f>
        <v>Model/Tipe</v>
      </c>
      <c r="B5" s="220"/>
      <c r="C5" s="220"/>
      <c r="D5" s="403" t="str">
        <f>PENYELIA!D5</f>
        <v>:</v>
      </c>
      <c r="E5" s="220" t="str">
        <f>PENYELIA!E5</f>
        <v>3500 HL</v>
      </c>
      <c r="F5" s="220"/>
      <c r="G5" s="220"/>
      <c r="H5" s="220"/>
      <c r="I5" s="220"/>
      <c r="J5" s="220"/>
      <c r="K5" s="220"/>
      <c r="L5" s="220"/>
      <c r="M5" s="220"/>
      <c r="N5" s="220"/>
    </row>
    <row r="6" spans="1:14" x14ac:dyDescent="0.25">
      <c r="A6" s="220" t="str">
        <f>PENYELIA!A6</f>
        <v>No. Seri</v>
      </c>
      <c r="B6" s="220"/>
      <c r="C6" s="220"/>
      <c r="D6" s="403" t="str">
        <f>PENYELIA!D6</f>
        <v>:</v>
      </c>
      <c r="E6" s="220" t="str">
        <f>PENYELIA!E6</f>
        <v>H73459</v>
      </c>
      <c r="F6" s="220"/>
      <c r="G6" s="220"/>
      <c r="H6" s="220"/>
      <c r="I6" s="220"/>
      <c r="J6" s="220"/>
      <c r="K6" s="220"/>
      <c r="L6" s="220"/>
      <c r="M6" s="220"/>
      <c r="N6" s="220"/>
    </row>
    <row r="7" spans="1:14" x14ac:dyDescent="0.25">
      <c r="A7" s="220" t="str">
        <f>PENYELIA!A7</f>
        <v>Resolusi Flow</v>
      </c>
      <c r="B7" s="220"/>
      <c r="C7" s="220"/>
      <c r="D7" s="403" t="str">
        <f>PENYELIA!D7</f>
        <v>:</v>
      </c>
      <c r="E7" s="542">
        <f>ID!E7</f>
        <v>1</v>
      </c>
      <c r="F7" s="404" t="s">
        <v>7</v>
      </c>
      <c r="G7" s="220"/>
      <c r="H7" s="220"/>
      <c r="I7" s="220"/>
      <c r="J7" s="220"/>
      <c r="K7" s="220"/>
      <c r="L7" s="220"/>
      <c r="M7" s="220"/>
      <c r="N7" s="220"/>
    </row>
    <row r="8" spans="1:14" x14ac:dyDescent="0.25">
      <c r="A8" s="220" t="str">
        <f>PENYELIA!A8</f>
        <v>Tanggal Penerimaan Alat</v>
      </c>
      <c r="B8" s="220"/>
      <c r="C8" s="220"/>
      <c r="D8" s="403" t="str">
        <f>PENYELIA!D8</f>
        <v>:</v>
      </c>
      <c r="E8" s="960">
        <f>PENYELIA!E8</f>
        <v>44929</v>
      </c>
      <c r="F8" s="960"/>
      <c r="G8" s="220"/>
      <c r="H8" s="220"/>
      <c r="I8" s="220"/>
      <c r="J8" s="220"/>
      <c r="K8" s="220"/>
      <c r="L8" s="220"/>
      <c r="M8" s="220"/>
      <c r="N8" s="220"/>
    </row>
    <row r="9" spans="1:14" x14ac:dyDescent="0.25">
      <c r="A9" s="220" t="str">
        <f>PENYELIA!A9</f>
        <v>Tanggal Kalibrasi</v>
      </c>
      <c r="B9" s="220"/>
      <c r="C9" s="220"/>
      <c r="D9" s="403" t="str">
        <f>PENYELIA!D9</f>
        <v>:</v>
      </c>
      <c r="E9" s="960">
        <f>PENYELIA!E9</f>
        <v>44930</v>
      </c>
      <c r="F9" s="960"/>
      <c r="G9" s="220"/>
      <c r="H9" s="220"/>
      <c r="I9" s="220"/>
      <c r="J9" s="220"/>
      <c r="K9" s="220"/>
      <c r="L9" s="220"/>
      <c r="M9" s="220"/>
      <c r="N9" s="220"/>
    </row>
    <row r="10" spans="1:14" x14ac:dyDescent="0.25">
      <c r="A10" s="220" t="str">
        <f>PENYELIA!A10</f>
        <v>Tempat Kalibrasi</v>
      </c>
      <c r="B10" s="220"/>
      <c r="C10" s="220"/>
      <c r="D10" s="403" t="str">
        <f>PENYELIA!D10</f>
        <v>:</v>
      </c>
      <c r="E10" s="220" t="str">
        <f>PENYELIA!E10</f>
        <v>PICU</v>
      </c>
      <c r="F10" s="220"/>
      <c r="G10" s="220"/>
      <c r="H10" s="220"/>
      <c r="I10" s="220"/>
      <c r="J10" s="220"/>
      <c r="K10" s="220"/>
      <c r="L10" s="220"/>
      <c r="M10" s="220"/>
      <c r="N10" s="220"/>
    </row>
    <row r="11" spans="1:14" x14ac:dyDescent="0.25">
      <c r="A11" s="220" t="str">
        <f>PENYELIA!A11</f>
        <v xml:space="preserve">Nama Ruang </v>
      </c>
      <c r="B11" s="220"/>
      <c r="C11" s="220"/>
      <c r="D11" s="403" t="str">
        <f>PENYELIA!D11</f>
        <v>:</v>
      </c>
      <c r="E11" s="220" t="str">
        <f>PENYELIA!E11</f>
        <v>NICU</v>
      </c>
      <c r="F11" s="220"/>
      <c r="G11" s="220"/>
      <c r="H11" s="220"/>
      <c r="I11" s="220"/>
      <c r="J11" s="220"/>
      <c r="K11" s="220"/>
      <c r="L11" s="220"/>
      <c r="M11" s="220"/>
      <c r="N11" s="220"/>
    </row>
    <row r="12" spans="1:14" x14ac:dyDescent="0.25">
      <c r="A12" s="220" t="str">
        <f>PENYELIA!A12</f>
        <v>Metode Kerja</v>
      </c>
      <c r="B12" s="220"/>
      <c r="C12" s="220"/>
      <c r="D12" s="403" t="str">
        <f>PENYELIA!D12</f>
        <v>:</v>
      </c>
      <c r="E12" s="220" t="str">
        <f>PENYELIA!E12</f>
        <v>FV.MK 14</v>
      </c>
      <c r="F12" s="220"/>
      <c r="G12" s="220"/>
      <c r="H12" s="220"/>
      <c r="I12" s="220"/>
      <c r="J12" s="220"/>
      <c r="K12" s="220"/>
      <c r="L12" s="220"/>
      <c r="M12" s="220"/>
      <c r="N12" s="220"/>
    </row>
    <row r="13" spans="1:14" ht="12.75" customHeight="1" x14ac:dyDescent="0.25">
      <c r="A13" s="220"/>
      <c r="B13" s="220"/>
      <c r="C13" s="220"/>
      <c r="D13" s="220"/>
      <c r="E13" s="220"/>
      <c r="F13" s="220"/>
      <c r="G13" s="220"/>
      <c r="H13" s="220"/>
      <c r="I13" s="220"/>
      <c r="J13" s="220"/>
      <c r="K13" s="220"/>
      <c r="L13" s="220"/>
      <c r="M13" s="220"/>
      <c r="N13" s="220"/>
    </row>
    <row r="14" spans="1:14" x14ac:dyDescent="0.25">
      <c r="A14" s="405" t="str">
        <f>PENYELIA!A14</f>
        <v xml:space="preserve">I.     </v>
      </c>
      <c r="B14" s="405" t="str">
        <f>PENYELIA!B14</f>
        <v>Kondisi Ruang</v>
      </c>
      <c r="C14" s="405"/>
      <c r="D14" s="405"/>
      <c r="E14" s="405"/>
      <c r="F14" s="405"/>
      <c r="G14" s="405"/>
      <c r="H14" s="405"/>
      <c r="I14" s="405"/>
      <c r="J14" s="220"/>
      <c r="K14" s="220"/>
      <c r="L14" s="220"/>
      <c r="M14" s="220"/>
      <c r="N14" s="220"/>
    </row>
    <row r="15" spans="1:14" x14ac:dyDescent="0.25">
      <c r="A15" s="220"/>
      <c r="B15" s="220" t="str">
        <f>PENYELIA!B15</f>
        <v xml:space="preserve">1. Suhu </v>
      </c>
      <c r="C15" s="220"/>
      <c r="D15" s="403" t="str">
        <f>PENYELIA!D15</f>
        <v>:</v>
      </c>
      <c r="E15" s="614">
        <f>'DB Thermohygro'!U377</f>
        <v>24.268188124306327</v>
      </c>
      <c r="F15" s="613" t="s">
        <v>375</v>
      </c>
      <c r="G15" s="614">
        <f>'DB Thermohygro'!W377</f>
        <v>0.5</v>
      </c>
      <c r="H15" s="220" t="s">
        <v>399</v>
      </c>
      <c r="I15" s="220"/>
      <c r="J15" s="220"/>
      <c r="K15" s="220"/>
      <c r="L15" s="220"/>
      <c r="M15" s="220"/>
      <c r="N15" s="220"/>
    </row>
    <row r="16" spans="1:14" x14ac:dyDescent="0.25">
      <c r="A16" s="220"/>
      <c r="B16" s="220" t="str">
        <f>PENYELIA!B16</f>
        <v xml:space="preserve">2. Kelembaban </v>
      </c>
      <c r="C16" s="220"/>
      <c r="D16" s="403" t="str">
        <f>PENYELIA!D16</f>
        <v>:</v>
      </c>
      <c r="E16" s="614">
        <f>'DB Thermohygro'!U378</f>
        <v>56.646369680851066</v>
      </c>
      <c r="F16" s="613" t="s">
        <v>375</v>
      </c>
      <c r="G16" s="614">
        <f>'DB Thermohygro'!W378</f>
        <v>2.7</v>
      </c>
      <c r="H16" s="220" t="s">
        <v>19</v>
      </c>
      <c r="I16" s="220"/>
      <c r="J16" s="220"/>
      <c r="K16" s="220"/>
      <c r="L16" s="220"/>
      <c r="M16" s="220"/>
      <c r="N16" s="220"/>
    </row>
    <row r="17" spans="1:14" x14ac:dyDescent="0.25">
      <c r="A17" s="220"/>
      <c r="B17" s="220" t="str">
        <f>PENYELIA!B17</f>
        <v>3. Tegangan Jala-jala</v>
      </c>
      <c r="C17" s="220"/>
      <c r="D17" s="403" t="str">
        <f>PENYELIA!D17</f>
        <v>:</v>
      </c>
      <c r="E17" s="614">
        <f>'DB Kelistrikan'!N268</f>
        <v>217.31479999999999</v>
      </c>
      <c r="F17" s="613" t="s">
        <v>375</v>
      </c>
      <c r="G17" s="614">
        <f>'DB Kelistrikan'!J286</f>
        <v>2.6077775999999999</v>
      </c>
      <c r="H17" s="220" t="s">
        <v>21</v>
      </c>
      <c r="I17" s="220"/>
      <c r="J17" s="220"/>
      <c r="K17" s="220"/>
      <c r="L17" s="220"/>
      <c r="M17" s="220"/>
      <c r="N17" s="220"/>
    </row>
    <row r="18" spans="1:14" ht="11.25" customHeight="1" x14ac:dyDescent="0.25">
      <c r="A18" s="220"/>
      <c r="B18" s="220"/>
      <c r="C18" s="220"/>
      <c r="D18" s="220"/>
      <c r="E18" s="220"/>
      <c r="F18" s="220"/>
      <c r="G18" s="220"/>
      <c r="H18" s="220"/>
      <c r="I18" s="220"/>
      <c r="J18" s="220"/>
      <c r="K18" s="220"/>
      <c r="L18" s="220"/>
      <c r="M18" s="220"/>
      <c r="N18" s="220"/>
    </row>
    <row r="19" spans="1:14" ht="12.75" customHeight="1" x14ac:dyDescent="0.25">
      <c r="A19" s="405" t="str">
        <f>PENYELIA!A19</f>
        <v xml:space="preserve">II.     </v>
      </c>
      <c r="B19" s="405" t="str">
        <f>PENYELIA!B19</f>
        <v>Pemeriksaan Kondisi Fisik dan Fungsi Alat</v>
      </c>
      <c r="C19" s="405"/>
      <c r="D19" s="405"/>
      <c r="E19" s="405"/>
      <c r="F19" s="405"/>
      <c r="G19" s="405"/>
      <c r="H19" s="405"/>
      <c r="I19" s="405"/>
      <c r="J19" s="220"/>
      <c r="K19" s="220"/>
      <c r="L19" s="220"/>
      <c r="M19" s="220"/>
      <c r="N19" s="220"/>
    </row>
    <row r="20" spans="1:14" ht="15" customHeight="1" x14ac:dyDescent="0.25">
      <c r="A20" s="220"/>
      <c r="B20" s="220" t="str">
        <f>PENYELIA!B20</f>
        <v>1. Fisik</v>
      </c>
      <c r="C20" s="220"/>
      <c r="D20" s="403" t="s">
        <v>9</v>
      </c>
      <c r="E20" s="220" t="str">
        <f>PENYELIA!E20</f>
        <v>Baik</v>
      </c>
      <c r="F20" s="405"/>
      <c r="G20" s="405"/>
      <c r="H20" s="405"/>
      <c r="I20" s="405"/>
      <c r="J20" s="220"/>
      <c r="K20" s="220"/>
      <c r="L20" s="220"/>
      <c r="M20" s="220"/>
      <c r="N20" s="220"/>
    </row>
    <row r="21" spans="1:14" ht="17.25" customHeight="1" x14ac:dyDescent="0.25">
      <c r="A21" s="220"/>
      <c r="B21" s="220" t="str">
        <f>PENYELIA!B21</f>
        <v>2. Fungsi</v>
      </c>
      <c r="C21" s="220"/>
      <c r="D21" s="403" t="s">
        <v>9</v>
      </c>
      <c r="E21" s="220" t="str">
        <f>PENYELIA!E21</f>
        <v>Baik</v>
      </c>
      <c r="F21" s="405"/>
      <c r="G21" s="405"/>
      <c r="H21" s="405"/>
      <c r="I21" s="405"/>
      <c r="J21" s="220"/>
      <c r="K21" s="220"/>
      <c r="L21" s="220"/>
      <c r="M21" s="220"/>
      <c r="N21" s="220"/>
    </row>
    <row r="22" spans="1:14" ht="12.75" customHeight="1" x14ac:dyDescent="0.25">
      <c r="A22" s="220"/>
      <c r="B22" s="220"/>
      <c r="C22" s="220"/>
      <c r="D22" s="220"/>
      <c r="E22" s="220"/>
      <c r="F22" s="405"/>
      <c r="G22" s="405"/>
      <c r="H22" s="405"/>
      <c r="I22" s="405"/>
      <c r="J22" s="220"/>
      <c r="K22" s="220"/>
      <c r="L22" s="220"/>
      <c r="M22" s="220"/>
      <c r="N22" s="220"/>
    </row>
    <row r="23" spans="1:14" ht="12.75" customHeight="1" x14ac:dyDescent="0.25">
      <c r="A23" s="405" t="str">
        <f>PENYELIA!A23</f>
        <v>III.</v>
      </c>
      <c r="B23" s="405" t="str">
        <f>PENYELIA!B23</f>
        <v>Pengujian Keselamatan Listrik</v>
      </c>
      <c r="C23" s="405"/>
      <c r="D23" s="405"/>
      <c r="E23" s="405"/>
      <c r="F23" s="405"/>
      <c r="G23" s="405"/>
      <c r="H23" s="405"/>
      <c r="I23" s="405"/>
      <c r="J23" s="220"/>
      <c r="K23" s="220"/>
      <c r="L23" s="220"/>
      <c r="M23" s="220"/>
      <c r="N23" s="220"/>
    </row>
    <row r="24" spans="1:14" ht="29.25" customHeight="1" x14ac:dyDescent="0.25">
      <c r="A24" s="362"/>
      <c r="B24" s="406" t="s">
        <v>30</v>
      </c>
      <c r="C24" s="957" t="s">
        <v>31</v>
      </c>
      <c r="D24" s="958"/>
      <c r="E24" s="958"/>
      <c r="F24" s="958"/>
      <c r="G24" s="959"/>
      <c r="H24" s="957" t="s">
        <v>32</v>
      </c>
      <c r="I24" s="959"/>
      <c r="J24" s="957" t="s">
        <v>33</v>
      </c>
      <c r="K24" s="958"/>
      <c r="L24" s="959"/>
      <c r="M24" s="220"/>
      <c r="N24" s="220"/>
    </row>
    <row r="25" spans="1:14" ht="20.149999999999999" customHeight="1" x14ac:dyDescent="0.25">
      <c r="A25" s="367"/>
      <c r="B25" s="407">
        <f>PENYELIA!B25</f>
        <v>1</v>
      </c>
      <c r="C25" s="408" t="str">
        <f>PENYELIA!C25</f>
        <v>Resistansi Isolasi</v>
      </c>
      <c r="D25" s="409"/>
      <c r="E25" s="409"/>
      <c r="F25" s="409"/>
      <c r="G25" s="410"/>
      <c r="H25" s="1174">
        <f>'DB Kelistrikan'!O269</f>
        <v>4.9866678000000002</v>
      </c>
      <c r="I25" s="412" t="s">
        <v>402</v>
      </c>
      <c r="J25" s="411">
        <f>PENYELIA!J25</f>
        <v>2</v>
      </c>
      <c r="K25" s="961" t="s">
        <v>402</v>
      </c>
      <c r="L25" s="962"/>
      <c r="M25" s="220"/>
      <c r="N25" s="220"/>
    </row>
    <row r="26" spans="1:14" ht="20.149999999999999" customHeight="1" x14ac:dyDescent="0.25">
      <c r="A26" s="367"/>
      <c r="B26" s="413">
        <f>PENYELIA!B26</f>
        <v>2</v>
      </c>
      <c r="C26" s="831" t="str">
        <f>PENYELIA!C26</f>
        <v>Resistansi Pembumian Protektif (kabel dapat dilepas)</v>
      </c>
      <c r="D26" s="414"/>
      <c r="E26" s="414"/>
      <c r="F26" s="414"/>
      <c r="G26" s="415"/>
      <c r="H26" s="1175">
        <f>'DB Kelistrikan'!O270</f>
        <v>0.11830908753858273</v>
      </c>
      <c r="I26" s="417" t="s">
        <v>37</v>
      </c>
      <c r="J26" s="416">
        <f>PENYELIA!J26</f>
        <v>0.2</v>
      </c>
      <c r="K26" s="963" t="s">
        <v>37</v>
      </c>
      <c r="L26" s="964"/>
      <c r="M26" s="220"/>
      <c r="N26" s="220"/>
    </row>
    <row r="27" spans="1:14" ht="19.5" customHeight="1" x14ac:dyDescent="0.25">
      <c r="A27" s="367"/>
      <c r="B27" s="418">
        <f>PENYELIA!B27</f>
        <v>3</v>
      </c>
      <c r="C27" s="832" t="str">
        <f>PENYELIA!C27</f>
        <v>Arus bocor peralatan untuk peralatan elektromedik kelas I</v>
      </c>
      <c r="D27" s="419"/>
      <c r="E27" s="419"/>
      <c r="F27" s="419"/>
      <c r="G27" s="420"/>
      <c r="H27" s="1176">
        <f>'DB Kelistrikan'!O271</f>
        <v>137.63999999999999</v>
      </c>
      <c r="I27" s="422" t="s">
        <v>40</v>
      </c>
      <c r="J27" s="421">
        <f>PENYELIA!J27</f>
        <v>500</v>
      </c>
      <c r="K27" s="949" t="s">
        <v>40</v>
      </c>
      <c r="L27" s="950"/>
      <c r="M27" s="220"/>
      <c r="N27" s="220"/>
    </row>
    <row r="28" spans="1:14" ht="19.5" customHeight="1" x14ac:dyDescent="0.25">
      <c r="A28" s="367"/>
      <c r="B28" s="166"/>
      <c r="C28" s="79"/>
      <c r="D28" s="220"/>
      <c r="E28" s="220"/>
      <c r="F28" s="220"/>
      <c r="G28" s="220"/>
      <c r="H28" s="423"/>
      <c r="I28" s="424"/>
      <c r="J28" s="168"/>
      <c r="K28" s="220"/>
      <c r="L28" s="220"/>
      <c r="M28" s="220"/>
      <c r="N28" s="220"/>
    </row>
    <row r="29" spans="1:14" ht="15.75" customHeight="1" x14ac:dyDescent="0.25">
      <c r="A29" s="425" t="str">
        <f>PENYELIA!A29</f>
        <v>IV.</v>
      </c>
      <c r="B29" s="425" t="str">
        <f>PENYELIA!B29</f>
        <v>Pengujian Kinerja</v>
      </c>
      <c r="C29" s="367"/>
      <c r="D29" s="367"/>
      <c r="E29" s="179"/>
      <c r="F29" s="367"/>
      <c r="G29" s="220"/>
      <c r="H29" s="220"/>
      <c r="I29" s="220"/>
      <c r="J29" s="220"/>
      <c r="K29" s="220"/>
      <c r="L29" s="220"/>
      <c r="M29" s="220"/>
      <c r="N29" s="220"/>
    </row>
    <row r="30" spans="1:14" x14ac:dyDescent="0.25">
      <c r="A30" s="405"/>
      <c r="B30" s="405" t="str">
        <f>PENYELIA!B30</f>
        <v>A. Kalibrasi Akurasi Konsentrasi Oksigen</v>
      </c>
      <c r="C30" s="220"/>
      <c r="D30" s="220"/>
      <c r="E30" s="220"/>
      <c r="F30" s="220"/>
      <c r="G30" s="220"/>
      <c r="H30" s="220"/>
      <c r="I30" s="220"/>
      <c r="J30" s="220"/>
      <c r="K30" s="220"/>
      <c r="L30" s="220"/>
      <c r="M30" s="220"/>
      <c r="N30" s="220"/>
    </row>
    <row r="31" spans="1:14" ht="15" customHeight="1" x14ac:dyDescent="0.25">
      <c r="A31" s="182"/>
      <c r="B31" s="953" t="s">
        <v>45</v>
      </c>
      <c r="C31" s="953" t="s">
        <v>31</v>
      </c>
      <c r="D31" s="953"/>
      <c r="E31" s="953" t="str">
        <f>PENYELIA!D31</f>
        <v>Setting Alat</v>
      </c>
      <c r="F31" s="953" t="s">
        <v>101</v>
      </c>
      <c r="G31" s="954" t="s">
        <v>154</v>
      </c>
      <c r="H31" s="954" t="s">
        <v>48</v>
      </c>
      <c r="I31" s="953" t="s">
        <v>155</v>
      </c>
      <c r="J31" s="953"/>
      <c r="K31" s="182"/>
      <c r="L31" s="220"/>
      <c r="M31" s="363"/>
      <c r="N31" s="222"/>
    </row>
    <row r="32" spans="1:14" ht="17.25" customHeight="1" x14ac:dyDescent="0.25">
      <c r="A32" s="182"/>
      <c r="B32" s="953"/>
      <c r="C32" s="953"/>
      <c r="D32" s="953"/>
      <c r="E32" s="953"/>
      <c r="F32" s="953"/>
      <c r="G32" s="954"/>
      <c r="H32" s="954"/>
      <c r="I32" s="953"/>
      <c r="J32" s="953"/>
      <c r="K32" s="182"/>
      <c r="L32" s="220"/>
      <c r="M32" s="363"/>
      <c r="N32" s="222"/>
    </row>
    <row r="33" spans="1:14" ht="19.5" customHeight="1" x14ac:dyDescent="0.25">
      <c r="A33" s="221"/>
      <c r="B33" s="887">
        <f>ID!B33</f>
        <v>1</v>
      </c>
      <c r="C33" s="887" t="str">
        <f>ID!C33</f>
        <v>Konsentrasi Oksigen (%)</v>
      </c>
      <c r="D33" s="887"/>
      <c r="E33" s="826">
        <f>ID!D33</f>
        <v>21</v>
      </c>
      <c r="F33" s="682">
        <f>'DB MAXTEC'!B4</f>
        <v>21.3</v>
      </c>
      <c r="G33" s="683">
        <f>'DB MAXTEC'!F4</f>
        <v>0.30000000000000071</v>
      </c>
      <c r="H33" s="898">
        <f>ID!K33</f>
        <v>3</v>
      </c>
      <c r="I33" s="678" t="s">
        <v>375</v>
      </c>
      <c r="J33" s="680">
        <f>UB!J16</f>
        <v>0.58243577561381232</v>
      </c>
      <c r="K33" s="387"/>
      <c r="L33" s="220"/>
      <c r="M33" s="363"/>
      <c r="N33" s="222"/>
    </row>
    <row r="34" spans="1:14" ht="19.5" customHeight="1" x14ac:dyDescent="0.25">
      <c r="A34" s="221"/>
      <c r="B34" s="951"/>
      <c r="C34" s="951"/>
      <c r="D34" s="951"/>
      <c r="E34" s="826">
        <f>ID!D34</f>
        <v>60</v>
      </c>
      <c r="F34" s="684">
        <f>'DB MAXTEC'!B5</f>
        <v>60.2</v>
      </c>
      <c r="G34" s="685">
        <f>'DB MAXTEC'!F5</f>
        <v>0.20000000000000284</v>
      </c>
      <c r="H34" s="899"/>
      <c r="I34" s="679" t="s">
        <v>375</v>
      </c>
      <c r="J34" s="681">
        <f>UB!J30</f>
        <v>0.58243577561381232</v>
      </c>
      <c r="K34" s="387"/>
      <c r="L34" s="220"/>
      <c r="M34" s="363"/>
      <c r="N34" s="222"/>
    </row>
    <row r="35" spans="1:14" ht="10" customHeight="1" x14ac:dyDescent="0.25">
      <c r="A35" s="182"/>
      <c r="B35" s="182"/>
      <c r="C35" s="182"/>
      <c r="D35" s="182"/>
      <c r="E35" s="426"/>
      <c r="F35" s="182"/>
      <c r="G35" s="182"/>
      <c r="H35" s="220"/>
      <c r="I35" s="182"/>
      <c r="J35" s="220"/>
      <c r="K35" s="220"/>
      <c r="L35" s="220"/>
      <c r="M35" s="363"/>
      <c r="N35" s="222"/>
    </row>
    <row r="36" spans="1:14" ht="12" customHeight="1" x14ac:dyDescent="0.25">
      <c r="A36" s="149"/>
      <c r="B36" s="149" t="str">
        <f>PENYELIA!B36</f>
        <v>B. Kalibrasi Akurasi Laju Aliran</v>
      </c>
      <c r="C36" s="182"/>
      <c r="D36" s="182"/>
      <c r="E36" s="426"/>
      <c r="F36" s="182"/>
      <c r="G36" s="182"/>
      <c r="H36" s="220"/>
      <c r="I36" s="182"/>
      <c r="J36" s="220"/>
      <c r="K36" s="220"/>
      <c r="L36" s="220"/>
      <c r="M36" s="363"/>
      <c r="N36" s="222"/>
    </row>
    <row r="37" spans="1:14" ht="18.75" customHeight="1" x14ac:dyDescent="0.25">
      <c r="A37" s="182"/>
      <c r="B37" s="953" t="s">
        <v>45</v>
      </c>
      <c r="C37" s="953" t="s">
        <v>31</v>
      </c>
      <c r="D37" s="953"/>
      <c r="E37" s="953" t="str">
        <f>PENYELIA!D37</f>
        <v>Setting Alat</v>
      </c>
      <c r="F37" s="953" t="s">
        <v>101</v>
      </c>
      <c r="G37" s="954" t="s">
        <v>154</v>
      </c>
      <c r="H37" s="954" t="s">
        <v>48</v>
      </c>
      <c r="I37" s="953" t="s">
        <v>155</v>
      </c>
      <c r="J37" s="953"/>
      <c r="K37" s="182"/>
      <c r="L37" s="220"/>
      <c r="M37" s="363"/>
      <c r="N37" s="222"/>
    </row>
    <row r="38" spans="1:14" ht="14.25" customHeight="1" x14ac:dyDescent="0.25">
      <c r="A38" s="182"/>
      <c r="B38" s="953"/>
      <c r="C38" s="953"/>
      <c r="D38" s="953"/>
      <c r="E38" s="953"/>
      <c r="F38" s="953"/>
      <c r="G38" s="954"/>
      <c r="H38" s="954"/>
      <c r="I38" s="953"/>
      <c r="J38" s="953"/>
      <c r="K38" s="182"/>
      <c r="L38" s="220"/>
      <c r="M38" s="363"/>
      <c r="N38" s="222"/>
    </row>
    <row r="39" spans="1:14" ht="19.5" customHeight="1" x14ac:dyDescent="0.25">
      <c r="A39" s="182"/>
      <c r="B39" s="873">
        <f>ID!B39</f>
        <v>2</v>
      </c>
      <c r="C39" s="873" t="str">
        <f>PENYELIA!C39</f>
        <v>Flowmeter (L/min)</v>
      </c>
      <c r="D39" s="873"/>
      <c r="E39" s="539">
        <f>ID!D39</f>
        <v>10</v>
      </c>
      <c r="F39" s="674">
        <f>PENYELIA!F39</f>
        <v>10.023090842872554</v>
      </c>
      <c r="G39" s="674">
        <f>PENYELIA!H39</f>
        <v>2.3090842872553807E-2</v>
      </c>
      <c r="H39" s="870">
        <f>ID!K39</f>
        <v>10</v>
      </c>
      <c r="I39" s="671" t="s">
        <v>375</v>
      </c>
      <c r="J39" s="813">
        <f>PENYELIA!K39</f>
        <v>0.58879558868290016</v>
      </c>
      <c r="K39" s="388"/>
      <c r="L39" s="220"/>
      <c r="M39" s="363"/>
      <c r="N39" s="222"/>
    </row>
    <row r="40" spans="1:14" ht="19.5" customHeight="1" x14ac:dyDescent="0.25">
      <c r="A40" s="182"/>
      <c r="B40" s="873"/>
      <c r="C40" s="873"/>
      <c r="D40" s="873"/>
      <c r="E40" s="540">
        <f>ID!D40</f>
        <v>15</v>
      </c>
      <c r="F40" s="675">
        <f>PENYELIA!F40</f>
        <v>15.035934644087996</v>
      </c>
      <c r="G40" s="675">
        <f>PENYELIA!H40</f>
        <v>3.5934644087996404E-2</v>
      </c>
      <c r="H40" s="871"/>
      <c r="I40" s="672" t="s">
        <v>375</v>
      </c>
      <c r="J40" s="814">
        <f>PENYELIA!K40</f>
        <v>0.59639708319697304</v>
      </c>
      <c r="K40" s="388"/>
      <c r="L40" s="220"/>
      <c r="M40" s="363"/>
      <c r="N40" s="222"/>
    </row>
    <row r="41" spans="1:14" ht="19.5" customHeight="1" x14ac:dyDescent="0.25">
      <c r="A41" s="182"/>
      <c r="B41" s="873"/>
      <c r="C41" s="873"/>
      <c r="D41" s="873"/>
      <c r="E41" s="540">
        <f>ID!D41</f>
        <v>20</v>
      </c>
      <c r="F41" s="675">
        <f>PENYELIA!F41</f>
        <v>20.048778445303437</v>
      </c>
      <c r="G41" s="675">
        <f>PENYELIA!H41</f>
        <v>4.8778445303437223E-2</v>
      </c>
      <c r="H41" s="871"/>
      <c r="I41" s="672" t="s">
        <v>375</v>
      </c>
      <c r="J41" s="814">
        <f>PENYELIA!K41</f>
        <v>0.60624419099898474</v>
      </c>
      <c r="K41" s="388"/>
      <c r="L41" s="220"/>
      <c r="M41" s="363"/>
      <c r="N41" s="222"/>
    </row>
    <row r="42" spans="1:14" ht="19.5" customHeight="1" x14ac:dyDescent="0.25">
      <c r="A42" s="221"/>
      <c r="B42" s="873"/>
      <c r="C42" s="873"/>
      <c r="D42" s="873"/>
      <c r="E42" s="540">
        <f>ID!D42</f>
        <v>25</v>
      </c>
      <c r="F42" s="675">
        <f>PENYELIA!F42</f>
        <v>25.06162224651888</v>
      </c>
      <c r="G42" s="675">
        <f>PENYELIA!H42</f>
        <v>6.162224651887982E-2</v>
      </c>
      <c r="H42" s="871"/>
      <c r="I42" s="672" t="s">
        <v>375</v>
      </c>
      <c r="J42" s="814">
        <f>PENYELIA!K42</f>
        <v>0.61826368623849615</v>
      </c>
      <c r="K42" s="388"/>
      <c r="L42" s="220"/>
      <c r="M42" s="363"/>
      <c r="N42" s="222"/>
    </row>
    <row r="43" spans="1:14" ht="19.5" customHeight="1" x14ac:dyDescent="0.25">
      <c r="A43" s="221"/>
      <c r="B43" s="873"/>
      <c r="C43" s="873"/>
      <c r="D43" s="873"/>
      <c r="E43" s="541">
        <f>ID!D43</f>
        <v>30</v>
      </c>
      <c r="F43" s="676">
        <f>PENYELIA!F43</f>
        <v>30.074466047734319</v>
      </c>
      <c r="G43" s="676">
        <f>PENYELIA!H43</f>
        <v>7.4466047734318863E-2</v>
      </c>
      <c r="H43" s="872"/>
      <c r="I43" s="673" t="s">
        <v>375</v>
      </c>
      <c r="J43" s="815">
        <f>PENYELIA!K43</f>
        <v>0.63236463622599604</v>
      </c>
      <c r="K43" s="388"/>
      <c r="L43" s="220"/>
      <c r="M43" s="363"/>
      <c r="N43" s="222"/>
    </row>
    <row r="44" spans="1:14" ht="10" customHeight="1" x14ac:dyDescent="0.25">
      <c r="A44" s="221"/>
      <c r="B44" s="365"/>
      <c r="C44" s="367"/>
      <c r="D44" s="427"/>
      <c r="E44" s="427"/>
      <c r="F44" s="428"/>
      <c r="G44" s="429"/>
      <c r="H44" s="430"/>
      <c r="I44" s="220"/>
      <c r="J44" s="220"/>
      <c r="K44" s="220"/>
      <c r="L44" s="220"/>
      <c r="M44" s="363"/>
      <c r="N44" s="222"/>
    </row>
    <row r="45" spans="1:14" x14ac:dyDescent="0.25">
      <c r="A45" s="431" t="str">
        <f>PENYELIA!A45</f>
        <v>V.</v>
      </c>
      <c r="B45" s="431" t="str">
        <f>PENYELIA!B45</f>
        <v>Keterangan</v>
      </c>
      <c r="C45" s="223"/>
      <c r="D45" s="224"/>
      <c r="E45" s="223"/>
      <c r="F45" s="223"/>
      <c r="G45" s="223"/>
      <c r="H45" s="223"/>
      <c r="I45" s="223"/>
      <c r="J45" s="223"/>
      <c r="K45" s="223"/>
      <c r="L45" s="223"/>
      <c r="M45" s="223"/>
      <c r="N45" s="220"/>
    </row>
    <row r="46" spans="1:14" x14ac:dyDescent="0.25">
      <c r="A46" s="223"/>
      <c r="B46" s="432" t="str">
        <f>PENYELIA!B46</f>
        <v>Ketidakpastian pengukuran dilaporkan pada tingkat kepercayaan 95% dengan faktor cakupan k = 2</v>
      </c>
      <c r="C46" s="223"/>
      <c r="D46" s="224"/>
      <c r="E46" s="223"/>
      <c r="F46" s="223"/>
      <c r="G46" s="223"/>
      <c r="H46" s="223"/>
      <c r="I46" s="223"/>
      <c r="J46" s="223"/>
      <c r="K46" s="223"/>
      <c r="L46" s="223"/>
      <c r="M46" s="223"/>
      <c r="N46" s="220"/>
    </row>
    <row r="47" spans="1:14" x14ac:dyDescent="0.25">
      <c r="A47" s="223"/>
      <c r="B47" s="432" t="str">
        <f>PENYELIA!B47</f>
        <v xml:space="preserve">Ketidakpastian pengukuran diperoleh dari sumber ketidakpastian tipe A dan tipe B untuk konsentrasi O2  </v>
      </c>
      <c r="C47" s="223"/>
      <c r="D47" s="224"/>
      <c r="E47" s="223"/>
      <c r="F47" s="223"/>
      <c r="G47" s="223"/>
      <c r="H47" s="223"/>
      <c r="I47" s="223"/>
      <c r="J47" s="223"/>
      <c r="K47" s="223"/>
      <c r="L47" s="223"/>
      <c r="M47" s="223"/>
      <c r="N47" s="220"/>
    </row>
    <row r="48" spans="1:14" x14ac:dyDescent="0.25">
      <c r="A48" s="223"/>
      <c r="B48" s="432" t="str">
        <f>PENYELIA!B48</f>
        <v>Hasil pengukuran keselamatan listrik tertelusur ke Satuan Internasional ( SI ) melalui PT. Kaliman (LK-032-IDN)</v>
      </c>
      <c r="C48" s="223"/>
      <c r="D48" s="224"/>
      <c r="E48" s="223"/>
      <c r="F48" s="223"/>
      <c r="G48" s="223"/>
      <c r="H48" s="223"/>
      <c r="I48" s="223"/>
      <c r="J48" s="223"/>
      <c r="K48" s="223"/>
      <c r="L48" s="223"/>
      <c r="M48" s="223"/>
      <c r="N48" s="220"/>
    </row>
    <row r="49" spans="1:14" x14ac:dyDescent="0.25">
      <c r="A49" s="223"/>
      <c r="B49" s="432" t="str">
        <f>PENYELIA!B49</f>
        <v>Hasil kalibrasi flow tertelusur ke Satuan Internasional ( SI ) melalui Fluke Biomedical</v>
      </c>
      <c r="C49" s="223"/>
      <c r="D49" s="224"/>
      <c r="E49" s="223"/>
      <c r="F49" s="223"/>
      <c r="G49" s="223"/>
      <c r="H49" s="223"/>
      <c r="I49" s="223"/>
      <c r="J49" s="223"/>
      <c r="K49" s="223"/>
      <c r="L49" s="223"/>
      <c r="M49" s="223"/>
      <c r="N49" s="220"/>
    </row>
    <row r="50" spans="1:14" x14ac:dyDescent="0.25">
      <c r="A50" s="223"/>
      <c r="B50" s="432" t="str">
        <f>PENYELIA!B50</f>
        <v>Pembacaan skala ditengah bola</v>
      </c>
      <c r="C50" s="223"/>
      <c r="D50" s="224"/>
      <c r="E50" s="223"/>
      <c r="F50" s="223"/>
      <c r="G50" s="223"/>
      <c r="H50" s="223"/>
      <c r="I50" s="223"/>
      <c r="J50" s="223"/>
      <c r="K50" s="223"/>
      <c r="L50" s="223"/>
      <c r="M50" s="223"/>
      <c r="N50" s="220"/>
    </row>
    <row r="51" spans="1:14" x14ac:dyDescent="0.25">
      <c r="A51" s="223"/>
      <c r="B51" s="432" t="str">
        <f>PENYELIA!B51</f>
        <v/>
      </c>
      <c r="C51" s="223"/>
      <c r="D51" s="224"/>
      <c r="E51" s="223"/>
      <c r="F51" s="223"/>
      <c r="G51" s="223"/>
      <c r="H51" s="223"/>
      <c r="I51" s="223"/>
      <c r="J51" s="223"/>
      <c r="K51" s="223"/>
      <c r="L51" s="223"/>
      <c r="M51" s="223"/>
      <c r="N51" s="220"/>
    </row>
    <row r="52" spans="1:14" ht="10" customHeight="1" x14ac:dyDescent="0.25">
      <c r="A52" s="223"/>
      <c r="B52" s="432"/>
      <c r="C52" s="223"/>
      <c r="D52" s="224"/>
      <c r="E52" s="223"/>
      <c r="F52" s="223"/>
      <c r="G52" s="223"/>
      <c r="H52" s="223"/>
      <c r="I52" s="223"/>
      <c r="J52" s="223"/>
      <c r="K52" s="223"/>
      <c r="L52" s="223"/>
      <c r="M52" s="223"/>
      <c r="N52" s="220"/>
    </row>
    <row r="53" spans="1:14" x14ac:dyDescent="0.25">
      <c r="A53" s="225" t="str">
        <f>PENYELIA!A53</f>
        <v>VI.</v>
      </c>
      <c r="B53" s="225" t="str">
        <f>PENYELIA!B53</f>
        <v>Alat Ukur Yang Digunakan</v>
      </c>
      <c r="C53" s="226"/>
      <c r="D53" s="224"/>
      <c r="E53" s="224"/>
      <c r="F53" s="224"/>
      <c r="G53" s="224"/>
      <c r="H53" s="224"/>
      <c r="I53" s="227"/>
      <c r="J53" s="224"/>
      <c r="K53" s="224"/>
      <c r="L53" s="223"/>
      <c r="M53" s="223"/>
      <c r="N53" s="220"/>
    </row>
    <row r="54" spans="1:14" x14ac:dyDescent="0.25">
      <c r="A54" s="223"/>
      <c r="B54" s="432" t="str">
        <f>PENYELIA!B54</f>
        <v>Electrical Safety Analyzer, Merek : Fluke, Model : ESA 615, SN : 2853077</v>
      </c>
      <c r="C54" s="226"/>
      <c r="D54" s="224"/>
      <c r="E54" s="224"/>
      <c r="F54" s="224"/>
      <c r="G54" s="224"/>
      <c r="H54" s="224"/>
      <c r="I54" s="227"/>
      <c r="J54" s="224"/>
      <c r="K54" s="224"/>
      <c r="L54" s="223"/>
      <c r="M54" s="223"/>
      <c r="N54" s="220"/>
    </row>
    <row r="55" spans="1:14" x14ac:dyDescent="0.25">
      <c r="A55" s="225"/>
      <c r="B55" s="432" t="str">
        <f>PENYELIA!B55</f>
        <v>Gas Flow Analyzer, Merek : Fluke, Model : VT305, SN : BF102142</v>
      </c>
      <c r="C55" s="226"/>
      <c r="D55" s="224"/>
      <c r="E55" s="224"/>
      <c r="F55" s="224"/>
      <c r="G55" s="224"/>
      <c r="H55" s="224"/>
      <c r="I55" s="227"/>
      <c r="J55" s="224"/>
      <c r="K55" s="224"/>
      <c r="L55" s="223"/>
      <c r="M55" s="223"/>
      <c r="N55" s="220"/>
    </row>
    <row r="56" spans="1:14" x14ac:dyDescent="0.25">
      <c r="A56" s="225"/>
      <c r="B56" s="432" t="str">
        <f>PENYELIA!B56</f>
        <v>Oxygen Analyzer, Merek : Maxtec, Model : Max O2, SN : FJ32099002</v>
      </c>
      <c r="C56" s="226"/>
      <c r="D56" s="224"/>
      <c r="E56" s="224"/>
      <c r="F56" s="224"/>
      <c r="G56" s="224"/>
      <c r="H56" s="224"/>
      <c r="I56" s="227"/>
      <c r="J56" s="224"/>
      <c r="K56" s="224"/>
      <c r="L56" s="223"/>
      <c r="M56" s="223"/>
      <c r="N56" s="220"/>
    </row>
    <row r="57" spans="1:14" hidden="1" x14ac:dyDescent="0.25">
      <c r="A57" s="225"/>
      <c r="B57" s="432" t="str">
        <f>PENYELIA!B57</f>
        <v>Thermohygrolight, Merek : EXTECH, Model : SD700, SN : A.100609</v>
      </c>
      <c r="C57" s="226"/>
      <c r="D57" s="224"/>
      <c r="E57" s="224"/>
      <c r="F57" s="224"/>
      <c r="G57" s="224"/>
      <c r="H57" s="224"/>
      <c r="I57" s="227"/>
      <c r="J57" s="224"/>
      <c r="K57" s="224"/>
      <c r="L57" s="223"/>
      <c r="M57" s="223"/>
      <c r="N57" s="220"/>
    </row>
    <row r="58" spans="1:14" ht="10.5" customHeight="1" x14ac:dyDescent="0.25">
      <c r="A58" s="225"/>
      <c r="B58" s="432"/>
      <c r="C58" s="226"/>
      <c r="D58" s="224"/>
      <c r="E58" s="224"/>
      <c r="F58" s="224"/>
      <c r="G58" s="224"/>
      <c r="H58" s="224"/>
      <c r="I58" s="227"/>
      <c r="J58" s="224"/>
      <c r="K58" s="224"/>
      <c r="L58" s="223"/>
      <c r="M58" s="223"/>
      <c r="N58" s="220"/>
    </row>
    <row r="59" spans="1:14" x14ac:dyDescent="0.25">
      <c r="A59" s="431" t="str">
        <f>PENYELIA!A59</f>
        <v>VII.</v>
      </c>
      <c r="B59" s="431" t="str">
        <f>PENYELIA!B59</f>
        <v>Kesimpulan</v>
      </c>
      <c r="C59" s="223"/>
      <c r="D59" s="223"/>
      <c r="E59" s="223"/>
      <c r="F59" s="223"/>
      <c r="G59" s="223"/>
      <c r="H59" s="223"/>
      <c r="I59" s="223"/>
      <c r="J59" s="223"/>
      <c r="K59" s="223"/>
      <c r="L59" s="223"/>
      <c r="M59" s="223"/>
      <c r="N59" s="220"/>
    </row>
    <row r="60" spans="1:14" ht="15" customHeight="1" x14ac:dyDescent="0.25">
      <c r="A60" s="223"/>
      <c r="B60" s="952" t="str">
        <f>PENYELIA!B60</f>
        <v>Alat yang dikalibrasi dalam batas toleransi dan dinyatakan LAIK PAKAI, dimana hasil atau skor akhir sama dengan atau melampaui 70% berdasarkan Keputusan Direktur Jenderal Pelayanan Kesehatan No : HK.02.02/V/0412/2020.</v>
      </c>
      <c r="C60" s="952"/>
      <c r="D60" s="952"/>
      <c r="E60" s="952"/>
      <c r="F60" s="952"/>
      <c r="G60" s="952"/>
      <c r="H60" s="952"/>
      <c r="I60" s="952"/>
      <c r="J60" s="952"/>
      <c r="K60" s="952"/>
      <c r="L60" s="952"/>
      <c r="M60" s="952"/>
      <c r="N60" s="221"/>
    </row>
    <row r="61" spans="1:14" x14ac:dyDescent="0.25">
      <c r="A61" s="223"/>
      <c r="B61" s="952"/>
      <c r="C61" s="952"/>
      <c r="D61" s="952"/>
      <c r="E61" s="952"/>
      <c r="F61" s="952"/>
      <c r="G61" s="952"/>
      <c r="H61" s="952"/>
      <c r="I61" s="952"/>
      <c r="J61" s="952"/>
      <c r="K61" s="952"/>
      <c r="L61" s="952"/>
      <c r="M61" s="952"/>
      <c r="N61" s="221"/>
    </row>
    <row r="62" spans="1:14" ht="10" customHeight="1" x14ac:dyDescent="0.25">
      <c r="A62" s="223"/>
      <c r="B62" s="952"/>
      <c r="C62" s="952"/>
      <c r="D62" s="952"/>
      <c r="E62" s="952"/>
      <c r="F62" s="952"/>
      <c r="G62" s="952"/>
      <c r="H62" s="952"/>
      <c r="I62" s="952"/>
      <c r="J62" s="952"/>
      <c r="K62" s="952"/>
      <c r="L62" s="952"/>
      <c r="M62" s="952"/>
      <c r="N62" s="221"/>
    </row>
    <row r="63" spans="1:14" x14ac:dyDescent="0.25">
      <c r="A63" s="431" t="str">
        <f>PENYELIA!A63</f>
        <v>VIII.</v>
      </c>
      <c r="B63" s="431" t="str">
        <f>PENYELIA!B63</f>
        <v>Petugas Kalibrasi</v>
      </c>
      <c r="C63" s="223"/>
      <c r="D63" s="223"/>
      <c r="E63" s="223"/>
      <c r="F63" s="223"/>
      <c r="G63" s="223"/>
      <c r="H63" s="223"/>
      <c r="I63" s="223"/>
      <c r="J63" s="223"/>
      <c r="K63" s="223"/>
      <c r="L63" s="223"/>
      <c r="M63" s="223"/>
      <c r="N63" s="220"/>
    </row>
    <row r="64" spans="1:14" x14ac:dyDescent="0.25">
      <c r="A64" s="223"/>
      <c r="B64" s="223" t="str">
        <f>PENYELIA!B64</f>
        <v>Muhammad Irfan Husnuzhzhan</v>
      </c>
      <c r="C64" s="223"/>
      <c r="D64" s="223"/>
      <c r="E64" s="223"/>
      <c r="F64" s="223"/>
      <c r="G64" s="223"/>
      <c r="H64" s="223"/>
      <c r="I64" s="223"/>
      <c r="J64" s="223"/>
      <c r="K64" s="223"/>
      <c r="L64" s="223"/>
      <c r="M64" s="223"/>
      <c r="N64" s="220"/>
    </row>
    <row r="65" spans="1:14" x14ac:dyDescent="0.25">
      <c r="A65" s="223"/>
      <c r="B65" s="223"/>
      <c r="C65" s="223"/>
      <c r="D65" s="223"/>
      <c r="E65" s="223"/>
      <c r="F65" s="223"/>
      <c r="G65" s="223"/>
      <c r="H65" s="228"/>
      <c r="I65" s="223"/>
      <c r="J65" s="223"/>
      <c r="K65" s="223"/>
      <c r="L65" s="223"/>
      <c r="M65" s="223"/>
      <c r="N65" s="220"/>
    </row>
    <row r="66" spans="1:14" x14ac:dyDescent="0.25">
      <c r="A66" s="223"/>
      <c r="B66" s="223"/>
      <c r="C66" s="223"/>
      <c r="D66" s="223"/>
      <c r="E66" s="223"/>
      <c r="F66" s="223"/>
      <c r="G66" s="229"/>
      <c r="H66" s="229" t="s">
        <v>163</v>
      </c>
      <c r="I66" s="211"/>
      <c r="J66" s="223"/>
      <c r="K66" s="223"/>
      <c r="L66" s="223"/>
      <c r="M66" s="223"/>
      <c r="N66" s="220"/>
    </row>
    <row r="67" spans="1:14" x14ac:dyDescent="0.25">
      <c r="A67" s="223"/>
      <c r="B67" s="223"/>
      <c r="C67" s="223"/>
      <c r="D67" s="223"/>
      <c r="E67" s="223"/>
      <c r="F67" s="223"/>
      <c r="G67" s="403" t="str">
        <f>IF(H73=A84,"a.n","")</f>
        <v/>
      </c>
      <c r="H67" s="223" t="s">
        <v>167</v>
      </c>
      <c r="I67" s="211"/>
      <c r="J67" s="223"/>
      <c r="K67" s="223"/>
      <c r="L67" s="223"/>
      <c r="M67" s="223"/>
      <c r="N67" s="220"/>
    </row>
    <row r="68" spans="1:14" x14ac:dyDescent="0.25">
      <c r="A68" s="223"/>
      <c r="B68" s="214"/>
      <c r="C68" s="214"/>
      <c r="D68" s="214"/>
      <c r="E68" s="214"/>
      <c r="F68" s="215"/>
      <c r="G68" s="215"/>
      <c r="H68" s="223" t="s">
        <v>168</v>
      </c>
      <c r="I68" s="211"/>
      <c r="J68" s="223"/>
      <c r="K68" s="223"/>
      <c r="L68" s="223"/>
      <c r="M68" s="223"/>
      <c r="N68" s="220"/>
    </row>
    <row r="69" spans="1:14" x14ac:dyDescent="0.25">
      <c r="A69" s="223"/>
      <c r="B69" s="216"/>
      <c r="C69" s="217"/>
      <c r="D69" s="217"/>
      <c r="E69" s="217"/>
      <c r="F69" s="215"/>
      <c r="G69" s="215"/>
      <c r="H69" s="229"/>
      <c r="I69" s="211"/>
      <c r="J69" s="223"/>
      <c r="K69" s="223"/>
      <c r="L69" s="223"/>
      <c r="M69" s="223"/>
      <c r="N69" s="220"/>
    </row>
    <row r="70" spans="1:14" x14ac:dyDescent="0.25">
      <c r="A70" s="223"/>
      <c r="B70" s="223"/>
      <c r="C70" s="223"/>
      <c r="D70" s="223"/>
      <c r="E70" s="223"/>
      <c r="F70" s="223"/>
      <c r="G70" s="229"/>
      <c r="H70" s="229"/>
      <c r="I70" s="211"/>
      <c r="J70" s="223"/>
      <c r="K70" s="223"/>
      <c r="L70" s="223"/>
      <c r="M70" s="223"/>
      <c r="N70" s="220"/>
    </row>
    <row r="71" spans="1:14" x14ac:dyDescent="0.25">
      <c r="A71" s="223"/>
      <c r="B71" s="223"/>
      <c r="C71" s="223"/>
      <c r="D71" s="223"/>
      <c r="E71" s="223"/>
      <c r="F71" s="223"/>
      <c r="G71" s="229"/>
      <c r="H71" s="229"/>
      <c r="I71" s="211"/>
      <c r="J71" s="223"/>
      <c r="K71" s="223"/>
      <c r="L71" s="223"/>
      <c r="M71" s="223"/>
      <c r="N71" s="220"/>
    </row>
    <row r="72" spans="1:14" x14ac:dyDescent="0.25">
      <c r="A72" s="223"/>
      <c r="B72" s="223"/>
      <c r="C72" s="223"/>
      <c r="D72" s="223"/>
      <c r="E72" s="223"/>
      <c r="F72" s="223"/>
      <c r="G72" s="230"/>
      <c r="H72" s="230"/>
      <c r="I72" s="211"/>
      <c r="J72" s="223"/>
      <c r="K72" s="223"/>
      <c r="L72" s="223"/>
      <c r="M72" s="223"/>
      <c r="N72" s="220"/>
    </row>
    <row r="73" spans="1:14" x14ac:dyDescent="0.25">
      <c r="A73" s="223"/>
      <c r="B73" s="223"/>
      <c r="C73" s="223"/>
      <c r="D73" s="223"/>
      <c r="E73" s="223"/>
      <c r="F73" s="223"/>
      <c r="G73" s="231"/>
      <c r="H73" s="218" t="s">
        <v>164</v>
      </c>
      <c r="I73" s="211"/>
      <c r="J73" s="223"/>
      <c r="K73" s="223"/>
      <c r="L73" s="223"/>
      <c r="M73" s="223"/>
      <c r="N73" s="220"/>
    </row>
    <row r="74" spans="1:14" x14ac:dyDescent="0.25">
      <c r="A74" s="223"/>
      <c r="B74" s="223"/>
      <c r="C74" s="223"/>
      <c r="D74" s="223"/>
      <c r="E74" s="223"/>
      <c r="F74" s="223"/>
      <c r="G74" s="219"/>
      <c r="H74" s="219" t="str">
        <f>VLOOKUP(H73,A84:B85,2,0)</f>
        <v>NIP 198008062010121001</v>
      </c>
      <c r="I74" s="211"/>
      <c r="J74" s="223"/>
      <c r="K74" s="223"/>
      <c r="L74" s="223"/>
      <c r="M74" s="223"/>
      <c r="N74" s="220"/>
    </row>
    <row r="75" spans="1:14" x14ac:dyDescent="0.25">
      <c r="A75" s="223"/>
      <c r="B75" s="223"/>
      <c r="C75" s="223"/>
      <c r="D75" s="223"/>
      <c r="E75" s="223"/>
      <c r="F75" s="223"/>
      <c r="G75" s="219"/>
      <c r="H75" s="219"/>
      <c r="I75" s="211"/>
      <c r="J75" s="223"/>
      <c r="K75" s="223"/>
      <c r="L75" s="223"/>
      <c r="M75" s="223"/>
      <c r="N75" s="220"/>
    </row>
    <row r="76" spans="1:14" ht="26.25" customHeight="1" x14ac:dyDescent="0.25">
      <c r="A76" s="211"/>
      <c r="B76" s="211"/>
      <c r="C76" s="211"/>
      <c r="D76" s="211"/>
      <c r="E76" s="211"/>
      <c r="F76" s="211"/>
      <c r="G76" s="190"/>
      <c r="H76" s="212"/>
      <c r="I76" s="211"/>
      <c r="J76" s="211"/>
      <c r="K76" s="211"/>
      <c r="L76" s="211"/>
      <c r="M76" s="211"/>
    </row>
    <row r="77" spans="1:14" x14ac:dyDescent="0.25">
      <c r="A77" s="211"/>
      <c r="B77" s="211"/>
      <c r="C77" s="211"/>
      <c r="D77" s="211"/>
      <c r="E77" s="211"/>
      <c r="F77" s="211"/>
      <c r="G77" s="211"/>
      <c r="H77" s="211"/>
      <c r="I77" s="211"/>
      <c r="J77" s="211"/>
      <c r="K77" s="211"/>
      <c r="L77" s="211"/>
      <c r="M77" s="213" t="s">
        <v>165</v>
      </c>
    </row>
    <row r="84" spans="1:3" x14ac:dyDescent="0.3">
      <c r="A84" s="538" t="s">
        <v>383</v>
      </c>
      <c r="B84" s="531" t="s">
        <v>384</v>
      </c>
      <c r="C84" s="532"/>
    </row>
    <row r="85" spans="1:3" x14ac:dyDescent="0.25">
      <c r="A85" s="218" t="s">
        <v>164</v>
      </c>
      <c r="B85" s="219" t="s">
        <v>166</v>
      </c>
    </row>
    <row r="87" spans="1:3" x14ac:dyDescent="0.25">
      <c r="A87" s="229" t="s">
        <v>167</v>
      </c>
    </row>
    <row r="88" spans="1:3" x14ac:dyDescent="0.25">
      <c r="A88" s="229" t="s">
        <v>168</v>
      </c>
    </row>
    <row r="89" spans="1:3" x14ac:dyDescent="0.25">
      <c r="A89" s="229" t="s">
        <v>169</v>
      </c>
    </row>
    <row r="90" spans="1:3" x14ac:dyDescent="0.25">
      <c r="A90" s="229" t="s">
        <v>170</v>
      </c>
    </row>
  </sheetData>
  <sheetProtection formatCells="0" formatColumns="0" formatRows="0" insertColumns="0" insertRows="0" insertHyperlinks="0" deleteColumns="0" deleteRows="0"/>
  <mergeCells count="31">
    <mergeCell ref="A1:M1"/>
    <mergeCell ref="A2:M2"/>
    <mergeCell ref="C31:D32"/>
    <mergeCell ref="I31:J32"/>
    <mergeCell ref="B31:B32"/>
    <mergeCell ref="H31:H32"/>
    <mergeCell ref="F31:F32"/>
    <mergeCell ref="G31:G32"/>
    <mergeCell ref="E31:E32"/>
    <mergeCell ref="C24:G24"/>
    <mergeCell ref="E8:F8"/>
    <mergeCell ref="E9:F9"/>
    <mergeCell ref="J24:L24"/>
    <mergeCell ref="H24:I24"/>
    <mergeCell ref="K25:L25"/>
    <mergeCell ref="K26:L26"/>
    <mergeCell ref="K27:L27"/>
    <mergeCell ref="B33:B34"/>
    <mergeCell ref="B60:M62"/>
    <mergeCell ref="C37:D38"/>
    <mergeCell ref="E37:E38"/>
    <mergeCell ref="F37:F38"/>
    <mergeCell ref="I37:J38"/>
    <mergeCell ref="H37:H38"/>
    <mergeCell ref="B37:B38"/>
    <mergeCell ref="G37:G38"/>
    <mergeCell ref="B39:B43"/>
    <mergeCell ref="C39:D43"/>
    <mergeCell ref="H39:H43"/>
    <mergeCell ref="C33:D34"/>
    <mergeCell ref="H33:H34"/>
  </mergeCells>
  <phoneticPr fontId="0" type="noConversion"/>
  <dataValidations count="2">
    <dataValidation type="list" allowBlank="1" showInputMessage="1" showErrorMessage="1" sqref="E25:E26" xr:uid="{00000000-0002-0000-0400-000000000000}">
      <formula1>#REF!</formula1>
    </dataValidation>
    <dataValidation type="list" allowBlank="1" showInputMessage="1" showErrorMessage="1" sqref="H73" xr:uid="{052F54A4-0C71-49CC-B2CB-FA20D29F440F}">
      <formula1>$A$84:$A$85</formula1>
    </dataValidation>
  </dataValidations>
  <printOptions horizontalCentered="1"/>
  <pageMargins left="0.196850393700787" right="0.196850393700787" top="0.39370078740157499" bottom="0.23622047244094499" header="0.196850393700787" footer="0.15748031496063"/>
  <pageSetup paperSize="9" scale="66" orientation="portrait" horizontalDpi="4294967293" verticalDpi="4294967293" r:id="rId1"/>
  <headerFooter>
    <oddHeader>&amp;R&amp;"-,Regular"&amp;8FV.LHK 14 / REV : 0</oddHeader>
    <oddFooter>&amp;C&amp;8Dilarang keras mengutip/memperbanyak dan atau mempublikasikan sebagian isi sertifikat ini tanpa seijin LPFK Banjarbaru
Sertifikat ini sah apabila dibubuhi cap LPFK Banjarbaru dan ditandatangani oleh pejabat yang berwenang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1000000}">
          <x14:formula1>
            <xm:f>'E:\SOFTWARE 2019\SOFTWARE TEKANAN\[TENSIMETER 8-1-2019 KAN.xlsx]KESIMPULAN'!#REF!</xm:f>
          </x14:formula1>
          <xm:sqref>G68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9BEF4-A621-49FD-BC6B-22604D5D378E}">
  <dimension ref="A1:O59"/>
  <sheetViews>
    <sheetView workbookViewId="0">
      <selection activeCell="B52" sqref="B52"/>
    </sheetView>
  </sheetViews>
  <sheetFormatPr defaultColWidth="9.1796875" defaultRowHeight="12.5" x14ac:dyDescent="0.25"/>
  <cols>
    <col min="1" max="1" width="18.1796875" style="629" customWidth="1"/>
    <col min="2" max="2" width="26.1796875" style="629" customWidth="1"/>
    <col min="3" max="3" width="3.1796875" style="629" customWidth="1"/>
    <col min="4" max="4" width="11.54296875" style="629" customWidth="1"/>
    <col min="5" max="5" width="9.453125" style="629" customWidth="1"/>
    <col min="6" max="6" width="22.54296875" style="629" customWidth="1"/>
    <col min="7" max="7" width="9.1796875" style="629"/>
    <col min="8" max="8" width="18.81640625" style="629" customWidth="1"/>
    <col min="9" max="9" width="12.1796875" style="629" customWidth="1"/>
    <col min="10" max="16384" width="9.1796875" style="629"/>
  </cols>
  <sheetData>
    <row r="1" spans="1:15" x14ac:dyDescent="0.25">
      <c r="H1" s="630" t="str">
        <f>IF(PENYELIA!M69&lt;70,"TIDAK LAIK","LAIK")</f>
        <v>LAIK</v>
      </c>
      <c r="I1" s="631"/>
      <c r="J1" s="631"/>
    </row>
    <row r="2" spans="1:15" ht="30" x14ac:dyDescent="0.25">
      <c r="A2" s="983" t="s">
        <v>404</v>
      </c>
      <c r="B2" s="983"/>
      <c r="C2" s="983"/>
      <c r="D2" s="983"/>
      <c r="E2" s="983"/>
      <c r="F2" s="983"/>
      <c r="H2" s="632"/>
      <c r="I2" s="984"/>
      <c r="J2" s="985"/>
    </row>
    <row r="3" spans="1:15" ht="14" x14ac:dyDescent="0.3">
      <c r="A3" s="986" t="str">
        <f>"Nomor : 76 /"&amp;" "&amp;ID!I2</f>
        <v>Nomor : 76 / 1 / I - 23 / E - 001.01 DL</v>
      </c>
      <c r="B3" s="986"/>
      <c r="C3" s="986"/>
      <c r="D3" s="986"/>
      <c r="E3" s="986"/>
      <c r="F3" s="986"/>
    </row>
    <row r="4" spans="1:15" ht="13" x14ac:dyDescent="0.3">
      <c r="C4" s="629" t="s">
        <v>405</v>
      </c>
      <c r="D4" s="987" t="s">
        <v>406</v>
      </c>
      <c r="E4" s="987"/>
      <c r="F4" s="987"/>
      <c r="H4" s="633"/>
      <c r="I4" s="633"/>
      <c r="J4" s="633"/>
    </row>
    <row r="5" spans="1:15" ht="14.5" x14ac:dyDescent="0.35">
      <c r="H5" s="988"/>
      <c r="I5" s="988"/>
      <c r="J5" s="988"/>
    </row>
    <row r="6" spans="1:15" ht="28" x14ac:dyDescent="0.25">
      <c r="A6" s="634" t="s">
        <v>407</v>
      </c>
      <c r="B6" s="635" t="s">
        <v>446</v>
      </c>
      <c r="C6" s="636"/>
      <c r="D6" s="980" t="s">
        <v>408</v>
      </c>
      <c r="E6" s="981"/>
      <c r="F6" s="637" t="s">
        <v>434</v>
      </c>
    </row>
    <row r="7" spans="1:15" ht="14" x14ac:dyDescent="0.25">
      <c r="A7" s="638"/>
      <c r="B7" s="638"/>
      <c r="C7" s="638"/>
    </row>
    <row r="8" spans="1:15" ht="14" x14ac:dyDescent="0.25">
      <c r="A8" s="966" t="s">
        <v>2</v>
      </c>
      <c r="B8" s="966"/>
      <c r="C8" s="639" t="s">
        <v>9</v>
      </c>
      <c r="D8" s="966" t="str">
        <f>LH!E4</f>
        <v>SECHRIST</v>
      </c>
      <c r="E8" s="966"/>
      <c r="F8" s="966"/>
      <c r="I8" s="982"/>
      <c r="J8" s="982"/>
    </row>
    <row r="9" spans="1:15" ht="14" customHeight="1" x14ac:dyDescent="0.25">
      <c r="A9" s="966" t="s">
        <v>409</v>
      </c>
      <c r="B9" s="966"/>
      <c r="C9" s="639" t="s">
        <v>9</v>
      </c>
      <c r="D9" s="966" t="str">
        <f>LH!E5</f>
        <v>3500 HL</v>
      </c>
      <c r="E9" s="966"/>
      <c r="F9" s="966"/>
      <c r="I9" s="982"/>
      <c r="J9" s="982"/>
    </row>
    <row r="10" spans="1:15" ht="14.5" x14ac:dyDescent="0.35">
      <c r="A10" s="966" t="s">
        <v>410</v>
      </c>
      <c r="B10" s="966"/>
      <c r="C10" s="639" t="s">
        <v>9</v>
      </c>
      <c r="D10" s="966" t="str">
        <f>LH!E6</f>
        <v>H73459</v>
      </c>
      <c r="E10" s="966"/>
      <c r="F10" s="966"/>
      <c r="I10" s="977"/>
      <c r="J10" s="978"/>
      <c r="O10" s="640"/>
    </row>
    <row r="11" spans="1:15" ht="14.5" x14ac:dyDescent="0.35">
      <c r="A11" s="641"/>
      <c r="B11" s="641"/>
      <c r="C11" s="638"/>
      <c r="I11" s="979"/>
      <c r="J11" s="979"/>
      <c r="O11" s="640"/>
    </row>
    <row r="12" spans="1:15" ht="28.5" customHeight="1" x14ac:dyDescent="0.35">
      <c r="A12" s="642" t="s">
        <v>411</v>
      </c>
      <c r="B12" s="643"/>
      <c r="C12" s="638"/>
      <c r="D12" s="980" t="s">
        <v>412</v>
      </c>
      <c r="E12" s="981"/>
      <c r="F12" s="644"/>
      <c r="I12" s="978"/>
      <c r="J12" s="978"/>
      <c r="O12" s="640"/>
    </row>
    <row r="13" spans="1:15" ht="14.5" x14ac:dyDescent="0.25">
      <c r="A13" s="645"/>
      <c r="B13" s="638"/>
      <c r="C13" s="638"/>
      <c r="D13" s="638"/>
      <c r="E13" s="638"/>
      <c r="I13" s="971"/>
      <c r="J13" s="971"/>
    </row>
    <row r="14" spans="1:15" s="631" customFormat="1" ht="42.75" customHeight="1" x14ac:dyDescent="0.3">
      <c r="A14" s="972" t="s">
        <v>413</v>
      </c>
      <c r="B14" s="972"/>
      <c r="C14" s="646" t="s">
        <v>9</v>
      </c>
      <c r="D14" s="973" t="s">
        <v>414</v>
      </c>
      <c r="E14" s="973"/>
      <c r="F14" s="973"/>
      <c r="H14" s="647"/>
      <c r="I14" s="974"/>
      <c r="J14" s="975"/>
    </row>
    <row r="15" spans="1:15" ht="14.5" x14ac:dyDescent="0.35">
      <c r="A15" s="966" t="str">
        <f>"Nama Ruang "&amp;B48</f>
        <v>Nama Ruang Kalibrasi</v>
      </c>
      <c r="B15" s="966"/>
      <c r="C15" s="639" t="s">
        <v>9</v>
      </c>
      <c r="D15" s="968" t="str">
        <f>LH!E11</f>
        <v>NICU</v>
      </c>
      <c r="E15" s="968"/>
      <c r="F15" s="968"/>
      <c r="H15" s="976"/>
      <c r="I15" s="976"/>
      <c r="J15" s="976"/>
    </row>
    <row r="16" spans="1:15" ht="14.5" x14ac:dyDescent="0.35">
      <c r="A16" s="966" t="s">
        <v>98</v>
      </c>
      <c r="B16" s="966"/>
      <c r="C16" s="639" t="s">
        <v>9</v>
      </c>
      <c r="D16" s="970">
        <f>LH!E8</f>
        <v>44929</v>
      </c>
      <c r="E16" s="970"/>
      <c r="F16" s="970"/>
      <c r="H16" s="648"/>
      <c r="I16" s="648"/>
      <c r="J16" s="648"/>
    </row>
    <row r="17" spans="1:8" ht="14.25" customHeight="1" x14ac:dyDescent="0.25">
      <c r="A17" s="966" t="str">
        <f>"Tanggal "&amp;B48</f>
        <v>Tanggal Kalibrasi</v>
      </c>
      <c r="B17" s="966"/>
      <c r="C17" s="639" t="s">
        <v>9</v>
      </c>
      <c r="D17" s="970">
        <f>LH!E9</f>
        <v>44930</v>
      </c>
      <c r="E17" s="970"/>
      <c r="F17" s="970"/>
    </row>
    <row r="18" spans="1:8" ht="14" x14ac:dyDescent="0.25">
      <c r="A18" s="966" t="str">
        <f>"Penanggungjawab "&amp;B48</f>
        <v>Penanggungjawab Kalibrasi</v>
      </c>
      <c r="B18" s="966"/>
      <c r="C18" s="639" t="s">
        <v>9</v>
      </c>
      <c r="D18" s="966" t="str">
        <f>LH!B64</f>
        <v>Muhammad Irfan Husnuzhzhan</v>
      </c>
      <c r="E18" s="966"/>
      <c r="F18" s="966"/>
    </row>
    <row r="19" spans="1:8" ht="14.5" x14ac:dyDescent="0.35">
      <c r="A19" s="966" t="str">
        <f>"Lokasi "&amp;B48</f>
        <v>Lokasi Kalibrasi</v>
      </c>
      <c r="B19" s="966"/>
      <c r="C19" s="639" t="s">
        <v>9</v>
      </c>
      <c r="D19" s="968" t="str">
        <f>[2]ID!E11</f>
        <v>ICU</v>
      </c>
      <c r="E19" s="968"/>
      <c r="F19" s="968"/>
      <c r="H19" s="649"/>
    </row>
    <row r="20" spans="1:8" ht="31.5" customHeight="1" x14ac:dyDescent="0.25">
      <c r="A20" s="968" t="str">
        <f>"Hasil "&amp;B48</f>
        <v>Hasil Kalibrasi</v>
      </c>
      <c r="B20" s="968"/>
      <c r="C20" s="650" t="s">
        <v>9</v>
      </c>
      <c r="D20" s="969" t="str">
        <f>B55</f>
        <v>Laik Pakai, disarankan untuk dikalibrasi ulang pada tanggal 4 January 2024</v>
      </c>
      <c r="E20" s="969"/>
      <c r="F20" s="969"/>
    </row>
    <row r="21" spans="1:8" ht="14" x14ac:dyDescent="0.25">
      <c r="A21" s="966" t="s">
        <v>99</v>
      </c>
      <c r="B21" s="966"/>
      <c r="C21" s="639" t="s">
        <v>9</v>
      </c>
      <c r="D21" s="966" t="str">
        <f>[2]ID!E13</f>
        <v>MK 047-18</v>
      </c>
      <c r="E21" s="966"/>
      <c r="F21" s="966"/>
    </row>
    <row r="24" spans="1:8" ht="26.25" customHeight="1" x14ac:dyDescent="0.25">
      <c r="D24" s="651" t="s">
        <v>415</v>
      </c>
      <c r="E24" s="965">
        <f ca="1">TODAY()</f>
        <v>45189</v>
      </c>
      <c r="F24" s="965"/>
    </row>
    <row r="25" spans="1:8" ht="14" x14ac:dyDescent="0.25">
      <c r="D25" s="966" t="s">
        <v>416</v>
      </c>
      <c r="E25" s="966"/>
      <c r="F25" s="966"/>
    </row>
    <row r="26" spans="1:8" ht="14" x14ac:dyDescent="0.25">
      <c r="D26" s="966" t="s">
        <v>417</v>
      </c>
      <c r="E26" s="966"/>
      <c r="F26" s="966"/>
    </row>
    <row r="27" spans="1:8" ht="14" x14ac:dyDescent="0.25">
      <c r="D27" s="652"/>
      <c r="E27" s="652"/>
    </row>
    <row r="28" spans="1:8" ht="14" x14ac:dyDescent="0.25">
      <c r="D28" s="652"/>
      <c r="E28" s="652"/>
    </row>
    <row r="29" spans="1:8" ht="14" x14ac:dyDescent="0.25">
      <c r="D29" s="652"/>
      <c r="E29" s="652"/>
    </row>
    <row r="30" spans="1:8" ht="14" x14ac:dyDescent="0.25">
      <c r="D30" s="966" t="s">
        <v>418</v>
      </c>
      <c r="E30" s="966"/>
      <c r="F30" s="966"/>
    </row>
    <row r="31" spans="1:8" ht="14" x14ac:dyDescent="0.25">
      <c r="D31" s="967" t="s">
        <v>419</v>
      </c>
      <c r="E31" s="967"/>
      <c r="F31" s="967"/>
    </row>
    <row r="34" spans="1:6" ht="13" x14ac:dyDescent="0.25">
      <c r="A34" s="653"/>
      <c r="B34" s="653"/>
      <c r="C34" s="653"/>
      <c r="D34" s="653"/>
      <c r="E34" s="653"/>
      <c r="F34" s="653"/>
    </row>
    <row r="40" spans="1:6" ht="13" thickBot="1" x14ac:dyDescent="0.3"/>
    <row r="41" spans="1:6" ht="31.5" customHeight="1" x14ac:dyDescent="0.25">
      <c r="A41" s="654" t="s">
        <v>420</v>
      </c>
      <c r="B41" s="655" t="str">
        <f>F6</f>
        <v>E - 001.01 DL</v>
      </c>
    </row>
    <row r="42" spans="1:6" x14ac:dyDescent="0.25">
      <c r="A42" s="656"/>
      <c r="B42" s="657"/>
    </row>
    <row r="43" spans="1:6" ht="24" customHeight="1" x14ac:dyDescent="0.25">
      <c r="A43" s="658" t="s">
        <v>421</v>
      </c>
      <c r="B43" s="659" t="str">
        <f>ID!A1</f>
        <v>Input Data Kalibrasi HFNC</v>
      </c>
    </row>
    <row r="44" spans="1:6" ht="39" customHeight="1" x14ac:dyDescent="0.25">
      <c r="A44" s="658" t="s">
        <v>422</v>
      </c>
      <c r="B44" s="660" t="str">
        <f>IF(B43="INPUT DATA KALIBRASI HFNC",B45,B46)</f>
        <v>SERTIFIKAT KALIBRASI</v>
      </c>
    </row>
    <row r="45" spans="1:6" ht="22.5" customHeight="1" x14ac:dyDescent="0.25">
      <c r="A45" s="658" t="s">
        <v>423</v>
      </c>
      <c r="B45" s="657" t="s">
        <v>404</v>
      </c>
    </row>
    <row r="46" spans="1:6" x14ac:dyDescent="0.25">
      <c r="A46" s="656"/>
      <c r="B46" s="657" t="s">
        <v>424</v>
      </c>
    </row>
    <row r="47" spans="1:6" x14ac:dyDescent="0.25">
      <c r="A47" s="656"/>
      <c r="B47" s="657"/>
    </row>
    <row r="48" spans="1:6" ht="48" customHeight="1" x14ac:dyDescent="0.25">
      <c r="A48" s="658" t="s">
        <v>425</v>
      </c>
      <c r="B48" s="657" t="str">
        <f>IF(RIGHT(A2,10)=" KALIBRASI","Kalibrasi","Pengujian")</f>
        <v>Kalibrasi</v>
      </c>
    </row>
    <row r="49" spans="1:2" x14ac:dyDescent="0.25">
      <c r="A49" s="656"/>
      <c r="B49" s="657"/>
    </row>
    <row r="50" spans="1:2" s="662" customFormat="1" ht="34.5" customHeight="1" x14ac:dyDescent="0.3">
      <c r="A50" s="658" t="s">
        <v>426</v>
      </c>
      <c r="B50" s="661" t="s">
        <v>427</v>
      </c>
    </row>
    <row r="51" spans="1:2" x14ac:dyDescent="0.25">
      <c r="A51" s="656"/>
      <c r="B51" s="657"/>
    </row>
    <row r="52" spans="1:2" ht="44.5" customHeight="1" x14ac:dyDescent="0.3">
      <c r="A52" s="663" t="s">
        <v>428</v>
      </c>
      <c r="B52" s="664">
        <f>DATE(YEAR(D17)+1,MONTH(D17),DAY(D17))</f>
        <v>45295</v>
      </c>
    </row>
    <row r="53" spans="1:2" ht="27" customHeight="1" x14ac:dyDescent="0.25">
      <c r="A53" s="658" t="s">
        <v>429</v>
      </c>
      <c r="B53" s="665" t="str">
        <f>TEXT(B52,"d mmmm yyyy")</f>
        <v>4 January 2024</v>
      </c>
    </row>
    <row r="54" spans="1:2" x14ac:dyDescent="0.25">
      <c r="A54" s="656"/>
      <c r="B54" s="657"/>
    </row>
    <row r="55" spans="1:2" ht="30" customHeight="1" x14ac:dyDescent="0.3">
      <c r="A55" s="663" t="s">
        <v>430</v>
      </c>
      <c r="B55" s="666" t="str">
        <f>IF(B44=B45,B56,B57)</f>
        <v>Laik Pakai, disarankan untuk dikalibrasi ulang pada tanggal 4 January 2024</v>
      </c>
    </row>
    <row r="56" spans="1:2" ht="50" customHeight="1" x14ac:dyDescent="0.3">
      <c r="A56" s="656" t="s">
        <v>431</v>
      </c>
      <c r="B56" s="667" t="str">
        <f>CONCATENATE(B58,B53)</f>
        <v>Laik Pakai, disarankan untuk dikalibrasi ulang pada tanggal 4 January 2024</v>
      </c>
    </row>
    <row r="57" spans="1:2" ht="46" customHeight="1" x14ac:dyDescent="0.3">
      <c r="A57" s="656"/>
      <c r="B57" s="667" t="str">
        <f>CONCATENATE(B59,B53)</f>
        <v>Laik Pakai, disarankan untuk diuji ulang pada tanggal 4 January 2024</v>
      </c>
    </row>
    <row r="58" spans="1:2" ht="31.5" customHeight="1" x14ac:dyDescent="0.3">
      <c r="A58" s="668" t="s">
        <v>423</v>
      </c>
      <c r="B58" s="667" t="s">
        <v>432</v>
      </c>
    </row>
    <row r="59" spans="1:2" ht="31" customHeight="1" thickBot="1" x14ac:dyDescent="0.35">
      <c r="A59" s="669"/>
      <c r="B59" s="670" t="s">
        <v>433</v>
      </c>
    </row>
  </sheetData>
  <mergeCells count="42">
    <mergeCell ref="D6:E6"/>
    <mergeCell ref="A2:F2"/>
    <mergeCell ref="I2:J2"/>
    <mergeCell ref="A3:F3"/>
    <mergeCell ref="D4:F4"/>
    <mergeCell ref="H5:J5"/>
    <mergeCell ref="A8:B8"/>
    <mergeCell ref="D8:F8"/>
    <mergeCell ref="I8:J8"/>
    <mergeCell ref="A9:B9"/>
    <mergeCell ref="D9:F9"/>
    <mergeCell ref="I9:J9"/>
    <mergeCell ref="A10:B10"/>
    <mergeCell ref="D10:F10"/>
    <mergeCell ref="I10:J10"/>
    <mergeCell ref="I11:J11"/>
    <mergeCell ref="D12:E12"/>
    <mergeCell ref="I12:J12"/>
    <mergeCell ref="I13:J13"/>
    <mergeCell ref="A14:B14"/>
    <mergeCell ref="D14:F14"/>
    <mergeCell ref="I14:J14"/>
    <mergeCell ref="A15:B15"/>
    <mergeCell ref="D15:F15"/>
    <mergeCell ref="H15:J15"/>
    <mergeCell ref="A16:B16"/>
    <mergeCell ref="D16:F16"/>
    <mergeCell ref="A17:B17"/>
    <mergeCell ref="D17:F17"/>
    <mergeCell ref="A18:B18"/>
    <mergeCell ref="D18:F18"/>
    <mergeCell ref="A19:B19"/>
    <mergeCell ref="D19:F19"/>
    <mergeCell ref="A20:B20"/>
    <mergeCell ref="D20:F20"/>
    <mergeCell ref="A21:B21"/>
    <mergeCell ref="D21:F21"/>
    <mergeCell ref="E24:F24"/>
    <mergeCell ref="D25:F25"/>
    <mergeCell ref="D26:F26"/>
    <mergeCell ref="D30:F30"/>
    <mergeCell ref="D31:F31"/>
  </mergeCells>
  <dataValidations count="1">
    <dataValidation type="list" allowBlank="1" showInputMessage="1" showErrorMessage="1" sqref="A2:F2" xr:uid="{B68EA990-A7FE-43AD-9D07-A67B3BAB7099}">
      <formula1>"SERTIFIKAT KALIBRASI,SERTIFIKAT PENGUJIAN"</formula1>
    </dataValidation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4"/>
  </sheetPr>
  <dimension ref="A1:AL410"/>
  <sheetViews>
    <sheetView topLeftCell="G372" workbookViewId="0">
      <selection activeCell="W377" sqref="W377"/>
    </sheetView>
  </sheetViews>
  <sheetFormatPr defaultColWidth="8.7265625" defaultRowHeight="12.5" x14ac:dyDescent="0.25"/>
  <cols>
    <col min="1" max="1" width="9.453125" style="451" bestFit="1" customWidth="1"/>
    <col min="2" max="2" width="8.7265625" style="451"/>
    <col min="3" max="3" width="9.26953125" style="451" bestFit="1" customWidth="1"/>
    <col min="4" max="4" width="8.7265625" style="451"/>
    <col min="5" max="5" width="9.453125" style="451" bestFit="1" customWidth="1"/>
    <col min="6" max="6" width="8.7265625" style="451" customWidth="1"/>
    <col min="7" max="7" width="8.7265625" style="451"/>
    <col min="8" max="8" width="9.453125" style="451" bestFit="1" customWidth="1"/>
    <col min="9" max="17" width="8.7265625" style="451"/>
    <col min="18" max="18" width="10" style="451" bestFit="1" customWidth="1"/>
    <col min="19" max="19" width="8.7265625" style="451"/>
    <col min="20" max="20" width="11" style="451" customWidth="1"/>
    <col min="21" max="21" width="8.81640625" style="451" customWidth="1"/>
    <col min="22" max="16384" width="8.7265625" style="451"/>
  </cols>
  <sheetData>
    <row r="1" spans="1:24" ht="18.5" thickBot="1" x14ac:dyDescent="0.3">
      <c r="A1" s="1036" t="s">
        <v>171</v>
      </c>
      <c r="B1" s="1037"/>
      <c r="C1" s="1037"/>
      <c r="D1" s="1037"/>
      <c r="E1" s="1037"/>
      <c r="F1" s="1037"/>
      <c r="G1" s="1037"/>
      <c r="H1" s="1037"/>
      <c r="I1" s="1037"/>
      <c r="J1" s="1037"/>
      <c r="K1" s="1037"/>
      <c r="L1" s="1037"/>
      <c r="M1" s="1037"/>
      <c r="N1" s="1037"/>
      <c r="O1" s="1037"/>
      <c r="P1" s="1037"/>
      <c r="Q1" s="1037"/>
      <c r="R1" s="1037"/>
      <c r="S1" s="1037"/>
      <c r="T1" s="1037"/>
      <c r="U1" s="1037"/>
    </row>
    <row r="2" spans="1:24" x14ac:dyDescent="0.25">
      <c r="A2" s="1034">
        <v>1</v>
      </c>
      <c r="B2" s="1025" t="s">
        <v>172</v>
      </c>
      <c r="C2" s="1025"/>
      <c r="D2" s="1025"/>
      <c r="E2" s="1025"/>
      <c r="F2" s="1025"/>
      <c r="G2" s="1025"/>
      <c r="I2" s="1025" t="str">
        <f>B2</f>
        <v>KOREKSI KIMO THERMOHYGROMETER 15062873</v>
      </c>
      <c r="J2" s="1025"/>
      <c r="K2" s="1025"/>
      <c r="L2" s="1025"/>
      <c r="M2" s="1025"/>
      <c r="N2" s="1025"/>
      <c r="P2" s="1025" t="str">
        <f>I2</f>
        <v>KOREKSI KIMO THERMOHYGROMETER 15062873</v>
      </c>
      <c r="Q2" s="1025"/>
      <c r="R2" s="1025"/>
      <c r="S2" s="1025"/>
      <c r="T2" s="1025"/>
      <c r="U2" s="1025"/>
      <c r="W2" s="1020" t="s">
        <v>173</v>
      </c>
      <c r="X2" s="1021"/>
    </row>
    <row r="3" spans="1:24" ht="13" x14ac:dyDescent="0.25">
      <c r="A3" s="1034"/>
      <c r="B3" s="1022" t="s">
        <v>174</v>
      </c>
      <c r="C3" s="1022"/>
      <c r="D3" s="1022" t="s">
        <v>175</v>
      </c>
      <c r="E3" s="1022"/>
      <c r="F3" s="1022"/>
      <c r="G3" s="1022" t="s">
        <v>176</v>
      </c>
      <c r="I3" s="1022" t="s">
        <v>177</v>
      </c>
      <c r="J3" s="1022"/>
      <c r="K3" s="1022" t="s">
        <v>175</v>
      </c>
      <c r="L3" s="1022"/>
      <c r="M3" s="1022"/>
      <c r="N3" s="1022" t="s">
        <v>176</v>
      </c>
      <c r="P3" s="1022" t="s">
        <v>178</v>
      </c>
      <c r="Q3" s="1022"/>
      <c r="R3" s="1022" t="s">
        <v>175</v>
      </c>
      <c r="S3" s="1022"/>
      <c r="T3" s="1022"/>
      <c r="U3" s="1022" t="s">
        <v>176</v>
      </c>
      <c r="W3" s="544" t="s">
        <v>174</v>
      </c>
      <c r="X3" s="545">
        <v>0.6</v>
      </c>
    </row>
    <row r="4" spans="1:24" ht="14.5" x14ac:dyDescent="0.25">
      <c r="A4" s="1034"/>
      <c r="B4" s="1024" t="s">
        <v>388</v>
      </c>
      <c r="C4" s="1024"/>
      <c r="D4" s="547">
        <v>2020</v>
      </c>
      <c r="E4" s="547">
        <v>2017</v>
      </c>
      <c r="F4" s="548" t="s">
        <v>180</v>
      </c>
      <c r="G4" s="1022"/>
      <c r="I4" s="1023" t="s">
        <v>19</v>
      </c>
      <c r="J4" s="1024"/>
      <c r="K4" s="547">
        <f>D4</f>
        <v>2020</v>
      </c>
      <c r="L4" s="547">
        <f>E4</f>
        <v>2017</v>
      </c>
      <c r="M4" s="547" t="str">
        <f>F4</f>
        <v>-</v>
      </c>
      <c r="N4" s="1022"/>
      <c r="P4" s="1023" t="s">
        <v>179</v>
      </c>
      <c r="Q4" s="1024"/>
      <c r="R4" s="547">
        <f>K4</f>
        <v>2020</v>
      </c>
      <c r="S4" s="547">
        <f>L4</f>
        <v>2017</v>
      </c>
      <c r="T4" s="547" t="str">
        <f>M4</f>
        <v>-</v>
      </c>
      <c r="U4" s="1022"/>
      <c r="W4" s="544" t="s">
        <v>19</v>
      </c>
      <c r="X4" s="545">
        <v>3.1</v>
      </c>
    </row>
    <row r="5" spans="1:24" ht="13" thickBot="1" x14ac:dyDescent="0.3">
      <c r="A5" s="1034"/>
      <c r="B5" s="457">
        <v>1</v>
      </c>
      <c r="C5" s="549">
        <v>15</v>
      </c>
      <c r="D5" s="549">
        <v>-0.5</v>
      </c>
      <c r="E5" s="549">
        <v>0.3</v>
      </c>
      <c r="F5" s="550" t="s">
        <v>180</v>
      </c>
      <c r="G5" s="551">
        <f>0.5*(MAX(D5:F5)-MIN(D5:F5))</f>
        <v>0.4</v>
      </c>
      <c r="I5" s="457">
        <v>1</v>
      </c>
      <c r="J5" s="549">
        <v>35</v>
      </c>
      <c r="K5" s="549">
        <v>-6</v>
      </c>
      <c r="L5" s="549">
        <v>-9.4</v>
      </c>
      <c r="M5" s="550" t="s">
        <v>180</v>
      </c>
      <c r="N5" s="551">
        <f>0.5*(MAX(K5:M5)-MIN(K5:M5))</f>
        <v>1.7000000000000002</v>
      </c>
      <c r="P5" s="457">
        <v>1</v>
      </c>
      <c r="Q5" s="549">
        <v>750</v>
      </c>
      <c r="R5" s="550" t="s">
        <v>180</v>
      </c>
      <c r="S5" s="550" t="s">
        <v>180</v>
      </c>
      <c r="T5" s="550" t="s">
        <v>180</v>
      </c>
      <c r="U5" s="551">
        <f>0.5*(MAX(R5:T5)-MIN(R5:T5))</f>
        <v>0</v>
      </c>
      <c r="W5" s="552" t="s">
        <v>179</v>
      </c>
      <c r="X5" s="553">
        <v>0</v>
      </c>
    </row>
    <row r="6" spans="1:24" x14ac:dyDescent="0.25">
      <c r="A6" s="1034"/>
      <c r="B6" s="457">
        <v>2</v>
      </c>
      <c r="C6" s="549">
        <v>20</v>
      </c>
      <c r="D6" s="549">
        <v>-0.2</v>
      </c>
      <c r="E6" s="549">
        <v>0.2</v>
      </c>
      <c r="F6" s="550" t="s">
        <v>180</v>
      </c>
      <c r="G6" s="551">
        <f t="shared" ref="G6:G11" si="0">0.5*(MAX(D6:F6)-MIN(D6:F6))</f>
        <v>0.2</v>
      </c>
      <c r="I6" s="457">
        <v>2</v>
      </c>
      <c r="J6" s="549">
        <v>40</v>
      </c>
      <c r="K6" s="549">
        <v>-6</v>
      </c>
      <c r="L6" s="549">
        <v>-8.6</v>
      </c>
      <c r="M6" s="550" t="s">
        <v>180</v>
      </c>
      <c r="N6" s="551">
        <f t="shared" ref="N6:N11" si="1">0.5*(MAX(K6:M6)-MIN(K6:M6))</f>
        <v>1.2999999999999998</v>
      </c>
      <c r="P6" s="457">
        <v>2</v>
      </c>
      <c r="Q6" s="549">
        <v>800</v>
      </c>
      <c r="R6" s="550" t="s">
        <v>180</v>
      </c>
      <c r="S6" s="550" t="s">
        <v>180</v>
      </c>
      <c r="T6" s="550" t="s">
        <v>180</v>
      </c>
      <c r="U6" s="551">
        <f t="shared" ref="U6:U11" si="2">0.5*(MAX(R6:T6)-MIN(R6:T6))</f>
        <v>0</v>
      </c>
    </row>
    <row r="7" spans="1:24" x14ac:dyDescent="0.25">
      <c r="A7" s="1034"/>
      <c r="B7" s="457">
        <v>3</v>
      </c>
      <c r="C7" s="549">
        <v>25</v>
      </c>
      <c r="D7" s="549">
        <v>9.9999999999999995E-7</v>
      </c>
      <c r="E7" s="549">
        <v>0.1</v>
      </c>
      <c r="F7" s="550" t="s">
        <v>180</v>
      </c>
      <c r="G7" s="551">
        <f t="shared" si="0"/>
        <v>4.9999500000000002E-2</v>
      </c>
      <c r="I7" s="457">
        <v>3</v>
      </c>
      <c r="J7" s="549">
        <v>50</v>
      </c>
      <c r="K7" s="549">
        <v>-5.8</v>
      </c>
      <c r="L7" s="549">
        <v>-7.2</v>
      </c>
      <c r="M7" s="550" t="s">
        <v>180</v>
      </c>
      <c r="N7" s="551">
        <f t="shared" si="1"/>
        <v>0.70000000000000018</v>
      </c>
      <c r="P7" s="457">
        <v>3</v>
      </c>
      <c r="Q7" s="549">
        <v>850</v>
      </c>
      <c r="R7" s="550" t="s">
        <v>180</v>
      </c>
      <c r="S7" s="550" t="s">
        <v>180</v>
      </c>
      <c r="T7" s="550" t="s">
        <v>180</v>
      </c>
      <c r="U7" s="551">
        <f t="shared" si="2"/>
        <v>0</v>
      </c>
    </row>
    <row r="8" spans="1:24" x14ac:dyDescent="0.25">
      <c r="A8" s="1034"/>
      <c r="B8" s="457">
        <v>4</v>
      </c>
      <c r="C8" s="554">
        <v>30</v>
      </c>
      <c r="D8" s="555">
        <v>9.9999999999999995E-7</v>
      </c>
      <c r="E8" s="555">
        <v>-0.2</v>
      </c>
      <c r="F8" s="550" t="s">
        <v>180</v>
      </c>
      <c r="G8" s="551">
        <f t="shared" si="0"/>
        <v>0.10000050000000001</v>
      </c>
      <c r="I8" s="457">
        <v>4</v>
      </c>
      <c r="J8" s="554">
        <v>60</v>
      </c>
      <c r="K8" s="555">
        <v>-5.3</v>
      </c>
      <c r="L8" s="555">
        <v>-5.2</v>
      </c>
      <c r="M8" s="550" t="s">
        <v>180</v>
      </c>
      <c r="N8" s="551">
        <f t="shared" si="1"/>
        <v>4.9999999999999822E-2</v>
      </c>
      <c r="P8" s="457">
        <v>4</v>
      </c>
      <c r="Q8" s="554">
        <v>900</v>
      </c>
      <c r="R8" s="555" t="s">
        <v>180</v>
      </c>
      <c r="S8" s="550" t="s">
        <v>180</v>
      </c>
      <c r="T8" s="550" t="s">
        <v>180</v>
      </c>
      <c r="U8" s="551">
        <f t="shared" si="2"/>
        <v>0</v>
      </c>
    </row>
    <row r="9" spans="1:24" x14ac:dyDescent="0.25">
      <c r="A9" s="1034"/>
      <c r="B9" s="457">
        <v>5</v>
      </c>
      <c r="C9" s="554">
        <v>35</v>
      </c>
      <c r="D9" s="555">
        <v>-0.1</v>
      </c>
      <c r="E9" s="555">
        <v>-0.5</v>
      </c>
      <c r="F9" s="550" t="s">
        <v>180</v>
      </c>
      <c r="G9" s="551">
        <f t="shared" si="0"/>
        <v>0.2</v>
      </c>
      <c r="I9" s="457">
        <v>5</v>
      </c>
      <c r="J9" s="554">
        <v>70</v>
      </c>
      <c r="K9" s="555">
        <v>-4.4000000000000004</v>
      </c>
      <c r="L9" s="555">
        <v>-2.6</v>
      </c>
      <c r="M9" s="550" t="s">
        <v>180</v>
      </c>
      <c r="N9" s="551">
        <f t="shared" si="1"/>
        <v>0.90000000000000013</v>
      </c>
      <c r="P9" s="457">
        <v>5</v>
      </c>
      <c r="Q9" s="554">
        <v>1000</v>
      </c>
      <c r="R9" s="555" t="s">
        <v>180</v>
      </c>
      <c r="S9" s="550" t="s">
        <v>180</v>
      </c>
      <c r="T9" s="550" t="s">
        <v>180</v>
      </c>
      <c r="U9" s="551">
        <f t="shared" si="2"/>
        <v>0</v>
      </c>
    </row>
    <row r="10" spans="1:24" x14ac:dyDescent="0.25">
      <c r="A10" s="1034"/>
      <c r="B10" s="457">
        <v>6</v>
      </c>
      <c r="C10" s="554">
        <v>37</v>
      </c>
      <c r="D10" s="555">
        <v>-0.2</v>
      </c>
      <c r="E10" s="555">
        <v>-0.6</v>
      </c>
      <c r="F10" s="550" t="s">
        <v>180</v>
      </c>
      <c r="G10" s="551">
        <f t="shared" si="0"/>
        <v>0.19999999999999998</v>
      </c>
      <c r="I10" s="457">
        <v>6</v>
      </c>
      <c r="J10" s="554">
        <v>80</v>
      </c>
      <c r="K10" s="555">
        <v>-3.2</v>
      </c>
      <c r="L10" s="555">
        <v>0.7</v>
      </c>
      <c r="M10" s="550" t="s">
        <v>180</v>
      </c>
      <c r="N10" s="551">
        <f t="shared" si="1"/>
        <v>1.9500000000000002</v>
      </c>
      <c r="P10" s="457">
        <v>6</v>
      </c>
      <c r="Q10" s="554">
        <v>1005</v>
      </c>
      <c r="R10" s="555" t="s">
        <v>180</v>
      </c>
      <c r="S10" s="550" t="s">
        <v>180</v>
      </c>
      <c r="T10" s="550" t="s">
        <v>180</v>
      </c>
      <c r="U10" s="551">
        <f t="shared" si="2"/>
        <v>0</v>
      </c>
    </row>
    <row r="11" spans="1:24" ht="13" thickBot="1" x14ac:dyDescent="0.3">
      <c r="A11" s="1034"/>
      <c r="B11" s="457">
        <v>7</v>
      </c>
      <c r="C11" s="554">
        <v>40</v>
      </c>
      <c r="D11" s="555">
        <v>-0.3</v>
      </c>
      <c r="E11" s="555">
        <v>-0.8</v>
      </c>
      <c r="F11" s="550" t="s">
        <v>180</v>
      </c>
      <c r="G11" s="551">
        <f t="shared" si="0"/>
        <v>0.25</v>
      </c>
      <c r="I11" s="457">
        <v>7</v>
      </c>
      <c r="J11" s="554">
        <v>90</v>
      </c>
      <c r="K11" s="555">
        <v>-1.6</v>
      </c>
      <c r="L11" s="555">
        <v>4.5</v>
      </c>
      <c r="M11" s="550" t="s">
        <v>180</v>
      </c>
      <c r="N11" s="551">
        <f t="shared" si="1"/>
        <v>3.05</v>
      </c>
      <c r="P11" s="457">
        <v>7</v>
      </c>
      <c r="Q11" s="554">
        <v>1020</v>
      </c>
      <c r="R11" s="555" t="s">
        <v>180</v>
      </c>
      <c r="S11" s="550" t="s">
        <v>180</v>
      </c>
      <c r="T11" s="550" t="s">
        <v>180</v>
      </c>
      <c r="U11" s="551">
        <f t="shared" si="2"/>
        <v>0</v>
      </c>
    </row>
    <row r="12" spans="1:24" ht="13.5" thickBot="1" x14ac:dyDescent="0.35">
      <c r="A12" s="556"/>
      <c r="B12" s="470"/>
      <c r="O12" s="557"/>
      <c r="P12" s="490"/>
    </row>
    <row r="13" spans="1:24" x14ac:dyDescent="0.25">
      <c r="A13" s="1034">
        <v>2</v>
      </c>
      <c r="B13" s="1025" t="s">
        <v>181</v>
      </c>
      <c r="C13" s="1025"/>
      <c r="D13" s="1025"/>
      <c r="E13" s="1025"/>
      <c r="F13" s="1025"/>
      <c r="G13" s="1025"/>
      <c r="I13" s="1025" t="str">
        <f>B13</f>
        <v>KOREKSI KIMO THERMOHYGROMETER 15062874</v>
      </c>
      <c r="J13" s="1025"/>
      <c r="K13" s="1025"/>
      <c r="L13" s="1025"/>
      <c r="M13" s="1025"/>
      <c r="N13" s="1025"/>
      <c r="P13" s="1025" t="str">
        <f>I13</f>
        <v>KOREKSI KIMO THERMOHYGROMETER 15062874</v>
      </c>
      <c r="Q13" s="1025"/>
      <c r="R13" s="1025"/>
      <c r="S13" s="1025"/>
      <c r="T13" s="1025"/>
      <c r="U13" s="1025"/>
      <c r="W13" s="1020" t="s">
        <v>173</v>
      </c>
      <c r="X13" s="1021"/>
    </row>
    <row r="14" spans="1:24" ht="13" x14ac:dyDescent="0.25">
      <c r="A14" s="1034"/>
      <c r="B14" s="1022" t="s">
        <v>174</v>
      </c>
      <c r="C14" s="1022"/>
      <c r="D14" s="1022" t="s">
        <v>175</v>
      </c>
      <c r="E14" s="1022"/>
      <c r="F14" s="1022"/>
      <c r="G14" s="1022" t="s">
        <v>176</v>
      </c>
      <c r="I14" s="1022" t="s">
        <v>177</v>
      </c>
      <c r="J14" s="1022"/>
      <c r="K14" s="1022" t="s">
        <v>175</v>
      </c>
      <c r="L14" s="1022"/>
      <c r="M14" s="1022"/>
      <c r="N14" s="1022" t="s">
        <v>176</v>
      </c>
      <c r="P14" s="1022" t="s">
        <v>178</v>
      </c>
      <c r="Q14" s="1022"/>
      <c r="R14" s="1022" t="s">
        <v>175</v>
      </c>
      <c r="S14" s="1022"/>
      <c r="T14" s="1022"/>
      <c r="U14" s="1022" t="s">
        <v>176</v>
      </c>
      <c r="W14" s="544" t="s">
        <v>174</v>
      </c>
      <c r="X14" s="545">
        <v>0.8</v>
      </c>
    </row>
    <row r="15" spans="1:24" ht="14.5" x14ac:dyDescent="0.25">
      <c r="A15" s="1034"/>
      <c r="B15" s="1024" t="s">
        <v>388</v>
      </c>
      <c r="C15" s="1024"/>
      <c r="D15" s="547">
        <v>2021</v>
      </c>
      <c r="E15" s="547">
        <v>2018</v>
      </c>
      <c r="F15" s="548" t="s">
        <v>180</v>
      </c>
      <c r="G15" s="1022"/>
      <c r="I15" s="1023" t="s">
        <v>19</v>
      </c>
      <c r="J15" s="1024"/>
      <c r="K15" s="547">
        <f>D15</f>
        <v>2021</v>
      </c>
      <c r="L15" s="547">
        <f>E15</f>
        <v>2018</v>
      </c>
      <c r="M15" s="547" t="str">
        <f>F15</f>
        <v>-</v>
      </c>
      <c r="N15" s="1022"/>
      <c r="P15" s="1023" t="s">
        <v>179</v>
      </c>
      <c r="Q15" s="1024"/>
      <c r="R15" s="547">
        <f>K15</f>
        <v>2021</v>
      </c>
      <c r="S15" s="547">
        <f>L15</f>
        <v>2018</v>
      </c>
      <c r="T15" s="547" t="str">
        <f>M15</f>
        <v>-</v>
      </c>
      <c r="U15" s="1022"/>
      <c r="W15" s="544" t="s">
        <v>19</v>
      </c>
      <c r="X15" s="545">
        <v>2.2000000000000002</v>
      </c>
    </row>
    <row r="16" spans="1:24" ht="13" thickBot="1" x14ac:dyDescent="0.3">
      <c r="A16" s="1034"/>
      <c r="B16" s="457">
        <v>1</v>
      </c>
      <c r="C16" s="549">
        <v>15</v>
      </c>
      <c r="D16" s="549">
        <v>0.4</v>
      </c>
      <c r="E16" s="549">
        <v>9.9999999999999995E-7</v>
      </c>
      <c r="F16" s="550" t="s">
        <v>180</v>
      </c>
      <c r="G16" s="551">
        <f>0.5*(MAX(D16:F16)-MIN(D16:F16))</f>
        <v>0.19999950000000002</v>
      </c>
      <c r="I16" s="457">
        <v>1</v>
      </c>
      <c r="J16" s="549">
        <v>35</v>
      </c>
      <c r="K16" s="549">
        <v>-6.9</v>
      </c>
      <c r="L16" s="549">
        <v>-1.6</v>
      </c>
      <c r="M16" s="550" t="s">
        <v>180</v>
      </c>
      <c r="N16" s="551">
        <f>0.5*(MAX(K16:M16)-MIN(K16:M16))</f>
        <v>2.6500000000000004</v>
      </c>
      <c r="P16" s="457">
        <v>1</v>
      </c>
      <c r="Q16" s="549">
        <v>750</v>
      </c>
      <c r="R16" s="550" t="s">
        <v>180</v>
      </c>
      <c r="S16" s="550" t="s">
        <v>180</v>
      </c>
      <c r="T16" s="550" t="s">
        <v>180</v>
      </c>
      <c r="U16" s="551">
        <f>0.5*(MAX(R16:T16)-MIN(R16:T16))</f>
        <v>0</v>
      </c>
      <c r="W16" s="552" t="s">
        <v>179</v>
      </c>
      <c r="X16" s="553">
        <v>0</v>
      </c>
    </row>
    <row r="17" spans="1:24" x14ac:dyDescent="0.25">
      <c r="A17" s="1034"/>
      <c r="B17" s="457">
        <v>2</v>
      </c>
      <c r="C17" s="549">
        <v>20</v>
      </c>
      <c r="D17" s="549">
        <v>0.7</v>
      </c>
      <c r="E17" s="549">
        <v>-0.1</v>
      </c>
      <c r="F17" s="550" t="s">
        <v>180</v>
      </c>
      <c r="G17" s="551">
        <f t="shared" ref="G17:G22" si="3">0.5*(MAX(D17:F17)-MIN(D17:F17))</f>
        <v>0.39999999999999997</v>
      </c>
      <c r="I17" s="457">
        <v>2</v>
      </c>
      <c r="J17" s="549">
        <v>40</v>
      </c>
      <c r="K17" s="549">
        <v>-6.2</v>
      </c>
      <c r="L17" s="549">
        <v>-1.6</v>
      </c>
      <c r="M17" s="550" t="s">
        <v>180</v>
      </c>
      <c r="N17" s="551">
        <f t="shared" ref="N17:N22" si="4">0.5*(MAX(K17:M17)-MIN(K17:M17))</f>
        <v>2.2999999999999998</v>
      </c>
      <c r="P17" s="457">
        <v>2</v>
      </c>
      <c r="Q17" s="549">
        <v>800</v>
      </c>
      <c r="R17" s="550" t="s">
        <v>180</v>
      </c>
      <c r="S17" s="550" t="s">
        <v>180</v>
      </c>
      <c r="T17" s="550" t="s">
        <v>180</v>
      </c>
      <c r="U17" s="551">
        <f t="shared" ref="U17:U22" si="5">0.5*(MAX(R17:T17)-MIN(R17:T17))</f>
        <v>0</v>
      </c>
    </row>
    <row r="18" spans="1:24" x14ac:dyDescent="0.25">
      <c r="A18" s="1034"/>
      <c r="B18" s="457">
        <v>3</v>
      </c>
      <c r="C18" s="549">
        <v>25</v>
      </c>
      <c r="D18" s="549">
        <v>0.5</v>
      </c>
      <c r="E18" s="549">
        <v>-0.2</v>
      </c>
      <c r="F18" s="550" t="s">
        <v>180</v>
      </c>
      <c r="G18" s="551">
        <f t="shared" si="3"/>
        <v>0.35</v>
      </c>
      <c r="I18" s="457">
        <v>3</v>
      </c>
      <c r="J18" s="549">
        <v>50</v>
      </c>
      <c r="K18" s="549">
        <v>-5.3</v>
      </c>
      <c r="L18" s="549">
        <v>-1.5</v>
      </c>
      <c r="M18" s="550" t="s">
        <v>180</v>
      </c>
      <c r="N18" s="551">
        <f t="shared" si="4"/>
        <v>1.9</v>
      </c>
      <c r="P18" s="457">
        <v>3</v>
      </c>
      <c r="Q18" s="549">
        <v>850</v>
      </c>
      <c r="R18" s="550" t="s">
        <v>180</v>
      </c>
      <c r="S18" s="550" t="s">
        <v>180</v>
      </c>
      <c r="T18" s="550" t="s">
        <v>180</v>
      </c>
      <c r="U18" s="551">
        <f t="shared" si="5"/>
        <v>0</v>
      </c>
    </row>
    <row r="19" spans="1:24" x14ac:dyDescent="0.25">
      <c r="A19" s="1034"/>
      <c r="B19" s="457">
        <v>4</v>
      </c>
      <c r="C19" s="554">
        <v>30</v>
      </c>
      <c r="D19" s="555">
        <v>0.2</v>
      </c>
      <c r="E19" s="555">
        <v>-0.3</v>
      </c>
      <c r="F19" s="550" t="s">
        <v>180</v>
      </c>
      <c r="G19" s="551">
        <f t="shared" si="3"/>
        <v>0.25</v>
      </c>
      <c r="I19" s="457">
        <v>4</v>
      </c>
      <c r="J19" s="554">
        <v>60</v>
      </c>
      <c r="K19" s="555">
        <v>-4</v>
      </c>
      <c r="L19" s="555">
        <v>-1.3</v>
      </c>
      <c r="M19" s="550" t="s">
        <v>180</v>
      </c>
      <c r="N19" s="551">
        <f t="shared" si="4"/>
        <v>1.35</v>
      </c>
      <c r="P19" s="457">
        <v>4</v>
      </c>
      <c r="Q19" s="554">
        <v>900</v>
      </c>
      <c r="R19" s="555" t="s">
        <v>180</v>
      </c>
      <c r="S19" s="555" t="s">
        <v>180</v>
      </c>
      <c r="T19" s="550" t="s">
        <v>180</v>
      </c>
      <c r="U19" s="551">
        <f t="shared" si="5"/>
        <v>0</v>
      </c>
    </row>
    <row r="20" spans="1:24" x14ac:dyDescent="0.25">
      <c r="A20" s="1034"/>
      <c r="B20" s="457">
        <v>5</v>
      </c>
      <c r="C20" s="554">
        <v>35</v>
      </c>
      <c r="D20" s="555">
        <v>-0.1</v>
      </c>
      <c r="E20" s="555">
        <v>-0.3</v>
      </c>
      <c r="F20" s="550" t="s">
        <v>180</v>
      </c>
      <c r="G20" s="551">
        <f t="shared" si="3"/>
        <v>9.9999999999999992E-2</v>
      </c>
      <c r="I20" s="457">
        <v>5</v>
      </c>
      <c r="J20" s="554">
        <v>70</v>
      </c>
      <c r="K20" s="555">
        <v>-2.4</v>
      </c>
      <c r="L20" s="555">
        <v>-1.1000000000000001</v>
      </c>
      <c r="M20" s="550" t="s">
        <v>180</v>
      </c>
      <c r="N20" s="551">
        <f t="shared" si="4"/>
        <v>0.64999999999999991</v>
      </c>
      <c r="P20" s="457">
        <v>5</v>
      </c>
      <c r="Q20" s="554">
        <v>1000</v>
      </c>
      <c r="R20" s="555" t="s">
        <v>180</v>
      </c>
      <c r="S20" s="555" t="s">
        <v>180</v>
      </c>
      <c r="T20" s="550" t="s">
        <v>180</v>
      </c>
      <c r="U20" s="551">
        <f t="shared" si="5"/>
        <v>0</v>
      </c>
    </row>
    <row r="21" spans="1:24" x14ac:dyDescent="0.25">
      <c r="A21" s="1034"/>
      <c r="B21" s="457">
        <v>6</v>
      </c>
      <c r="C21" s="554">
        <v>37</v>
      </c>
      <c r="D21" s="555">
        <v>-0.2</v>
      </c>
      <c r="E21" s="555">
        <v>-0.3</v>
      </c>
      <c r="F21" s="550" t="s">
        <v>180</v>
      </c>
      <c r="G21" s="551">
        <f t="shared" si="3"/>
        <v>4.9999999999999989E-2</v>
      </c>
      <c r="I21" s="457">
        <v>6</v>
      </c>
      <c r="J21" s="554">
        <v>80</v>
      </c>
      <c r="K21" s="555">
        <v>-0.5</v>
      </c>
      <c r="L21" s="555">
        <v>-0.7</v>
      </c>
      <c r="M21" s="550" t="s">
        <v>180</v>
      </c>
      <c r="N21" s="551">
        <f t="shared" si="4"/>
        <v>9.9999999999999978E-2</v>
      </c>
      <c r="P21" s="457">
        <v>6</v>
      </c>
      <c r="Q21" s="554">
        <v>1005</v>
      </c>
      <c r="R21" s="555" t="s">
        <v>180</v>
      </c>
      <c r="S21" s="555" t="s">
        <v>180</v>
      </c>
      <c r="T21" s="550" t="s">
        <v>180</v>
      </c>
      <c r="U21" s="551">
        <f t="shared" si="5"/>
        <v>0</v>
      </c>
    </row>
    <row r="22" spans="1:24" ht="13" thickBot="1" x14ac:dyDescent="0.3">
      <c r="A22" s="1034"/>
      <c r="B22" s="457">
        <v>7</v>
      </c>
      <c r="C22" s="554">
        <v>40</v>
      </c>
      <c r="D22" s="555">
        <v>-0.1</v>
      </c>
      <c r="E22" s="555">
        <v>-0.3</v>
      </c>
      <c r="F22" s="550" t="s">
        <v>180</v>
      </c>
      <c r="G22" s="551">
        <f t="shared" si="3"/>
        <v>9.9999999999999992E-2</v>
      </c>
      <c r="I22" s="457">
        <v>7</v>
      </c>
      <c r="J22" s="554">
        <v>90</v>
      </c>
      <c r="K22" s="555">
        <v>1.7</v>
      </c>
      <c r="L22" s="555">
        <v>-0.3</v>
      </c>
      <c r="M22" s="550" t="s">
        <v>180</v>
      </c>
      <c r="N22" s="551">
        <f t="shared" si="4"/>
        <v>1</v>
      </c>
      <c r="P22" s="457">
        <v>7</v>
      </c>
      <c r="Q22" s="554">
        <v>1020</v>
      </c>
      <c r="R22" s="555" t="s">
        <v>180</v>
      </c>
      <c r="S22" s="555" t="s">
        <v>180</v>
      </c>
      <c r="T22" s="550" t="s">
        <v>180</v>
      </c>
      <c r="U22" s="551">
        <f t="shared" si="5"/>
        <v>0</v>
      </c>
    </row>
    <row r="23" spans="1:24" ht="13.5" thickBot="1" x14ac:dyDescent="0.35">
      <c r="A23" s="556"/>
      <c r="B23" s="470"/>
      <c r="O23" s="557"/>
      <c r="P23" s="490"/>
    </row>
    <row r="24" spans="1:24" x14ac:dyDescent="0.25">
      <c r="A24" s="1038">
        <v>3</v>
      </c>
      <c r="B24" s="1025" t="s">
        <v>182</v>
      </c>
      <c r="C24" s="1025"/>
      <c r="D24" s="1025"/>
      <c r="E24" s="1025"/>
      <c r="F24" s="1025"/>
      <c r="G24" s="1025"/>
      <c r="I24" s="1025" t="str">
        <f>B24</f>
        <v>KOREKSI KIMO THERMOHYGROMETER 14082463</v>
      </c>
      <c r="J24" s="1025"/>
      <c r="K24" s="1025"/>
      <c r="L24" s="1025"/>
      <c r="M24" s="1025"/>
      <c r="N24" s="1025"/>
      <c r="P24" s="1025" t="str">
        <f>I24</f>
        <v>KOREKSI KIMO THERMOHYGROMETER 14082463</v>
      </c>
      <c r="Q24" s="1025"/>
      <c r="R24" s="1025"/>
      <c r="S24" s="1025"/>
      <c r="T24" s="1025"/>
      <c r="U24" s="1025"/>
      <c r="W24" s="1020" t="s">
        <v>173</v>
      </c>
      <c r="X24" s="1021"/>
    </row>
    <row r="25" spans="1:24" ht="13" x14ac:dyDescent="0.25">
      <c r="A25" s="1039"/>
      <c r="B25" s="1022" t="s">
        <v>174</v>
      </c>
      <c r="C25" s="1022"/>
      <c r="D25" s="1022" t="s">
        <v>175</v>
      </c>
      <c r="E25" s="1022"/>
      <c r="F25" s="1022"/>
      <c r="G25" s="1022" t="s">
        <v>176</v>
      </c>
      <c r="I25" s="1022" t="s">
        <v>177</v>
      </c>
      <c r="J25" s="1022"/>
      <c r="K25" s="1022" t="s">
        <v>175</v>
      </c>
      <c r="L25" s="1022"/>
      <c r="M25" s="1022"/>
      <c r="N25" s="1022" t="s">
        <v>176</v>
      </c>
      <c r="P25" s="1022" t="s">
        <v>178</v>
      </c>
      <c r="Q25" s="1022"/>
      <c r="R25" s="1022" t="s">
        <v>175</v>
      </c>
      <c r="S25" s="1022"/>
      <c r="T25" s="1022"/>
      <c r="U25" s="1022" t="s">
        <v>176</v>
      </c>
      <c r="W25" s="544" t="s">
        <v>174</v>
      </c>
      <c r="X25" s="545">
        <v>0.5</v>
      </c>
    </row>
    <row r="26" spans="1:24" ht="14.5" x14ac:dyDescent="0.25">
      <c r="A26" s="1039"/>
      <c r="B26" s="1024" t="s">
        <v>388</v>
      </c>
      <c r="C26" s="1024"/>
      <c r="D26" s="547">
        <v>2021</v>
      </c>
      <c r="E26" s="547">
        <v>2018</v>
      </c>
      <c r="F26" s="548" t="s">
        <v>180</v>
      </c>
      <c r="G26" s="1022"/>
      <c r="I26" s="1023" t="s">
        <v>19</v>
      </c>
      <c r="J26" s="1024"/>
      <c r="K26" s="547">
        <f>D26</f>
        <v>2021</v>
      </c>
      <c r="L26" s="547">
        <f>E26</f>
        <v>2018</v>
      </c>
      <c r="M26" s="547" t="str">
        <f>F26</f>
        <v>-</v>
      </c>
      <c r="N26" s="1022"/>
      <c r="P26" s="1023" t="s">
        <v>179</v>
      </c>
      <c r="Q26" s="1024"/>
      <c r="R26" s="547">
        <f>K26</f>
        <v>2021</v>
      </c>
      <c r="S26" s="547">
        <f>L26</f>
        <v>2018</v>
      </c>
      <c r="T26" s="547" t="str">
        <f>M26</f>
        <v>-</v>
      </c>
      <c r="U26" s="1022"/>
      <c r="W26" s="544" t="s">
        <v>19</v>
      </c>
      <c r="X26" s="545">
        <v>3.1</v>
      </c>
    </row>
    <row r="27" spans="1:24" ht="13" thickBot="1" x14ac:dyDescent="0.3">
      <c r="A27" s="1039"/>
      <c r="B27" s="457">
        <v>1</v>
      </c>
      <c r="C27" s="549">
        <v>15</v>
      </c>
      <c r="D27" s="549">
        <v>0.4</v>
      </c>
      <c r="E27" s="549">
        <v>9.9999999999999995E-7</v>
      </c>
      <c r="F27" s="550" t="s">
        <v>180</v>
      </c>
      <c r="G27" s="551">
        <f>0.5*(MAX(D27:F27)-MIN(D27:F27))</f>
        <v>0.19999950000000002</v>
      </c>
      <c r="I27" s="457">
        <v>1</v>
      </c>
      <c r="J27" s="549">
        <v>30</v>
      </c>
      <c r="K27" s="549">
        <v>-7.3</v>
      </c>
      <c r="L27" s="549">
        <v>-5.7</v>
      </c>
      <c r="M27" s="550" t="s">
        <v>180</v>
      </c>
      <c r="N27" s="551">
        <f>0.5*(MAX(K27:M27)-MIN(K27:M27))</f>
        <v>0.79999999999999982</v>
      </c>
      <c r="P27" s="457">
        <v>1</v>
      </c>
      <c r="Q27" s="549">
        <v>750</v>
      </c>
      <c r="R27" s="550" t="s">
        <v>180</v>
      </c>
      <c r="S27" s="550" t="s">
        <v>180</v>
      </c>
      <c r="T27" s="550" t="s">
        <v>180</v>
      </c>
      <c r="U27" s="551">
        <f>0.5*(MAX(R27:T27)-MIN(R27:S27))</f>
        <v>0</v>
      </c>
      <c r="W27" s="552" t="s">
        <v>179</v>
      </c>
      <c r="X27" s="553">
        <v>0</v>
      </c>
    </row>
    <row r="28" spans="1:24" x14ac:dyDescent="0.25">
      <c r="A28" s="1039"/>
      <c r="B28" s="457">
        <v>2</v>
      </c>
      <c r="C28" s="549">
        <v>20</v>
      </c>
      <c r="D28" s="549">
        <v>1</v>
      </c>
      <c r="E28" s="549">
        <v>9.9999999999999995E-7</v>
      </c>
      <c r="F28" s="550" t="s">
        <v>180</v>
      </c>
      <c r="G28" s="551">
        <f t="shared" ref="G28:G33" si="6">0.5*(MAX(D28:F28)-MIN(D28:F28))</f>
        <v>0.49999949999999999</v>
      </c>
      <c r="I28" s="457">
        <v>2</v>
      </c>
      <c r="J28" s="549">
        <v>40</v>
      </c>
      <c r="K28" s="549">
        <v>-5.9</v>
      </c>
      <c r="L28" s="549">
        <v>-5.3</v>
      </c>
      <c r="M28" s="550" t="s">
        <v>180</v>
      </c>
      <c r="N28" s="551">
        <f t="shared" ref="N28:N33" si="7">0.5*(MAX(K28:M28)-MIN(K28:M28))</f>
        <v>0.30000000000000027</v>
      </c>
      <c r="P28" s="457">
        <v>2</v>
      </c>
      <c r="Q28" s="549">
        <v>800</v>
      </c>
      <c r="R28" s="550" t="s">
        <v>180</v>
      </c>
      <c r="S28" s="550" t="s">
        <v>180</v>
      </c>
      <c r="T28" s="550" t="s">
        <v>180</v>
      </c>
      <c r="U28" s="551">
        <f t="shared" ref="U28:U33" si="8">0.5*(MAX(R28:T28)-MIN(R28:S28))</f>
        <v>0</v>
      </c>
    </row>
    <row r="29" spans="1:24" x14ac:dyDescent="0.25">
      <c r="A29" s="1039"/>
      <c r="B29" s="457">
        <v>3</v>
      </c>
      <c r="C29" s="549">
        <v>25</v>
      </c>
      <c r="D29" s="549">
        <v>0.7</v>
      </c>
      <c r="E29" s="549">
        <v>-0.1</v>
      </c>
      <c r="F29" s="550" t="s">
        <v>180</v>
      </c>
      <c r="G29" s="551">
        <f t="shared" si="6"/>
        <v>0.39999999999999997</v>
      </c>
      <c r="I29" s="457">
        <v>3</v>
      </c>
      <c r="J29" s="549">
        <v>50</v>
      </c>
      <c r="K29" s="549">
        <v>-4.5</v>
      </c>
      <c r="L29" s="549">
        <v>-4.9000000000000004</v>
      </c>
      <c r="M29" s="550" t="s">
        <v>180</v>
      </c>
      <c r="N29" s="551">
        <f t="shared" si="7"/>
        <v>0.20000000000000018</v>
      </c>
      <c r="P29" s="457">
        <v>3</v>
      </c>
      <c r="Q29" s="549">
        <v>850</v>
      </c>
      <c r="R29" s="550" t="s">
        <v>180</v>
      </c>
      <c r="S29" s="550" t="s">
        <v>180</v>
      </c>
      <c r="T29" s="550" t="s">
        <v>180</v>
      </c>
      <c r="U29" s="551">
        <f t="shared" si="8"/>
        <v>0</v>
      </c>
    </row>
    <row r="30" spans="1:24" x14ac:dyDescent="0.25">
      <c r="A30" s="1039"/>
      <c r="B30" s="457">
        <v>4</v>
      </c>
      <c r="C30" s="554">
        <v>30</v>
      </c>
      <c r="D30" s="555">
        <v>9.9999999999999995E-7</v>
      </c>
      <c r="E30" s="555">
        <v>-0.3</v>
      </c>
      <c r="F30" s="550" t="s">
        <v>180</v>
      </c>
      <c r="G30" s="551">
        <f t="shared" si="6"/>
        <v>0.15000049999999998</v>
      </c>
      <c r="I30" s="457">
        <v>4</v>
      </c>
      <c r="J30" s="554">
        <v>60</v>
      </c>
      <c r="K30" s="555">
        <v>-3.2</v>
      </c>
      <c r="L30" s="555">
        <v>-4.3</v>
      </c>
      <c r="M30" s="550" t="s">
        <v>180</v>
      </c>
      <c r="N30" s="551">
        <f t="shared" si="7"/>
        <v>0.54999999999999982</v>
      </c>
      <c r="P30" s="457">
        <v>4</v>
      </c>
      <c r="Q30" s="554">
        <v>900</v>
      </c>
      <c r="R30" s="555" t="s">
        <v>180</v>
      </c>
      <c r="S30" s="555" t="s">
        <v>180</v>
      </c>
      <c r="T30" s="550" t="s">
        <v>180</v>
      </c>
      <c r="U30" s="551">
        <f t="shared" si="8"/>
        <v>0</v>
      </c>
    </row>
    <row r="31" spans="1:24" x14ac:dyDescent="0.25">
      <c r="A31" s="1039"/>
      <c r="B31" s="457">
        <v>5</v>
      </c>
      <c r="C31" s="554">
        <v>35</v>
      </c>
      <c r="D31" s="555">
        <v>-0.3</v>
      </c>
      <c r="E31" s="555">
        <v>-0.5</v>
      </c>
      <c r="F31" s="550" t="s">
        <v>180</v>
      </c>
      <c r="G31" s="551">
        <f t="shared" si="6"/>
        <v>0.1</v>
      </c>
      <c r="I31" s="457">
        <v>5</v>
      </c>
      <c r="J31" s="554">
        <v>70</v>
      </c>
      <c r="K31" s="555">
        <v>-2</v>
      </c>
      <c r="L31" s="555">
        <v>-3.6</v>
      </c>
      <c r="M31" s="550" t="s">
        <v>180</v>
      </c>
      <c r="N31" s="551">
        <f t="shared" si="7"/>
        <v>0.8</v>
      </c>
      <c r="P31" s="457">
        <v>5</v>
      </c>
      <c r="Q31" s="554">
        <v>1000</v>
      </c>
      <c r="R31" s="555" t="s">
        <v>180</v>
      </c>
      <c r="S31" s="555" t="s">
        <v>180</v>
      </c>
      <c r="T31" s="550" t="s">
        <v>180</v>
      </c>
      <c r="U31" s="551">
        <f t="shared" si="8"/>
        <v>0</v>
      </c>
    </row>
    <row r="32" spans="1:24" x14ac:dyDescent="0.25">
      <c r="A32" s="1039"/>
      <c r="B32" s="457">
        <v>6</v>
      </c>
      <c r="C32" s="554">
        <v>37</v>
      </c>
      <c r="D32" s="555">
        <v>-0.2</v>
      </c>
      <c r="E32" s="555">
        <v>-0.6</v>
      </c>
      <c r="F32" s="550" t="s">
        <v>180</v>
      </c>
      <c r="G32" s="551">
        <f t="shared" si="6"/>
        <v>0.19999999999999998</v>
      </c>
      <c r="I32" s="457">
        <v>6</v>
      </c>
      <c r="J32" s="554">
        <v>80</v>
      </c>
      <c r="K32" s="555">
        <v>-0.8</v>
      </c>
      <c r="L32" s="555">
        <v>-2.9</v>
      </c>
      <c r="M32" s="550" t="s">
        <v>180</v>
      </c>
      <c r="N32" s="551">
        <f t="shared" si="7"/>
        <v>1.0499999999999998</v>
      </c>
      <c r="P32" s="457">
        <v>6</v>
      </c>
      <c r="Q32" s="554">
        <v>1005</v>
      </c>
      <c r="R32" s="555" t="s">
        <v>180</v>
      </c>
      <c r="S32" s="555" t="s">
        <v>180</v>
      </c>
      <c r="T32" s="550" t="s">
        <v>180</v>
      </c>
      <c r="U32" s="551">
        <f t="shared" si="8"/>
        <v>0</v>
      </c>
    </row>
    <row r="33" spans="1:24" ht="13" thickBot="1" x14ac:dyDescent="0.3">
      <c r="A33" s="1040"/>
      <c r="B33" s="457">
        <v>7</v>
      </c>
      <c r="C33" s="554">
        <v>40</v>
      </c>
      <c r="D33" s="555">
        <v>0.2</v>
      </c>
      <c r="E33" s="555">
        <v>-0.7</v>
      </c>
      <c r="F33" s="550" t="s">
        <v>180</v>
      </c>
      <c r="G33" s="551">
        <f t="shared" si="6"/>
        <v>0.44999999999999996</v>
      </c>
      <c r="I33" s="457">
        <v>7</v>
      </c>
      <c r="J33" s="554">
        <v>90</v>
      </c>
      <c r="K33" s="555">
        <v>0.3</v>
      </c>
      <c r="L33" s="555">
        <v>-2</v>
      </c>
      <c r="M33" s="550" t="s">
        <v>180</v>
      </c>
      <c r="N33" s="551">
        <f t="shared" si="7"/>
        <v>1.1499999999999999</v>
      </c>
      <c r="P33" s="457">
        <v>7</v>
      </c>
      <c r="Q33" s="554">
        <v>1020</v>
      </c>
      <c r="R33" s="555" t="s">
        <v>180</v>
      </c>
      <c r="S33" s="555" t="s">
        <v>180</v>
      </c>
      <c r="T33" s="550" t="s">
        <v>180</v>
      </c>
      <c r="U33" s="551">
        <f t="shared" si="8"/>
        <v>0</v>
      </c>
    </row>
    <row r="34" spans="1:24" ht="13.5" thickBot="1" x14ac:dyDescent="0.35">
      <c r="A34" s="556"/>
      <c r="B34" s="470"/>
      <c r="H34" s="469"/>
      <c r="O34" s="557"/>
      <c r="P34" s="490"/>
    </row>
    <row r="35" spans="1:24" x14ac:dyDescent="0.25">
      <c r="A35" s="1038">
        <v>4</v>
      </c>
      <c r="B35" s="1025" t="s">
        <v>183</v>
      </c>
      <c r="C35" s="1025"/>
      <c r="D35" s="1025"/>
      <c r="E35" s="1025"/>
      <c r="F35" s="1025"/>
      <c r="G35" s="1025"/>
      <c r="I35" s="1025" t="str">
        <f>B35</f>
        <v>KOREKSI KIMO THERMOHYGROMETER 15062872</v>
      </c>
      <c r="J35" s="1025"/>
      <c r="K35" s="1025"/>
      <c r="L35" s="1025"/>
      <c r="M35" s="1025"/>
      <c r="N35" s="1025"/>
      <c r="P35" s="1025" t="str">
        <f>I35</f>
        <v>KOREKSI KIMO THERMOHYGROMETER 15062872</v>
      </c>
      <c r="Q35" s="1025"/>
      <c r="R35" s="1025"/>
      <c r="S35" s="1025"/>
      <c r="T35" s="1025"/>
      <c r="U35" s="1025"/>
      <c r="W35" s="1020" t="s">
        <v>173</v>
      </c>
      <c r="X35" s="1021"/>
    </row>
    <row r="36" spans="1:24" ht="13" x14ac:dyDescent="0.25">
      <c r="A36" s="1039"/>
      <c r="B36" s="1022" t="s">
        <v>174</v>
      </c>
      <c r="C36" s="1022"/>
      <c r="D36" s="1022" t="s">
        <v>175</v>
      </c>
      <c r="E36" s="1022"/>
      <c r="F36" s="1022"/>
      <c r="G36" s="1022" t="s">
        <v>176</v>
      </c>
      <c r="I36" s="1022" t="s">
        <v>177</v>
      </c>
      <c r="J36" s="1022"/>
      <c r="K36" s="1022" t="s">
        <v>175</v>
      </c>
      <c r="L36" s="1022"/>
      <c r="M36" s="1022"/>
      <c r="N36" s="1022" t="s">
        <v>176</v>
      </c>
      <c r="P36" s="1022" t="s">
        <v>178</v>
      </c>
      <c r="Q36" s="1022"/>
      <c r="R36" s="1022" t="s">
        <v>175</v>
      </c>
      <c r="S36" s="1022"/>
      <c r="T36" s="1022"/>
      <c r="U36" s="1022" t="s">
        <v>176</v>
      </c>
      <c r="W36" s="544" t="s">
        <v>174</v>
      </c>
      <c r="X36" s="545">
        <v>0.3</v>
      </c>
    </row>
    <row r="37" spans="1:24" ht="14.5" x14ac:dyDescent="0.25">
      <c r="A37" s="1039"/>
      <c r="B37" s="1024" t="s">
        <v>388</v>
      </c>
      <c r="C37" s="1024"/>
      <c r="D37" s="547">
        <v>2019</v>
      </c>
      <c r="E37" s="547">
        <v>2017</v>
      </c>
      <c r="F37" s="548" t="s">
        <v>180</v>
      </c>
      <c r="G37" s="1022"/>
      <c r="I37" s="1023" t="s">
        <v>19</v>
      </c>
      <c r="J37" s="1024"/>
      <c r="K37" s="547">
        <f>D37</f>
        <v>2019</v>
      </c>
      <c r="L37" s="547">
        <f>E37</f>
        <v>2017</v>
      </c>
      <c r="M37" s="547" t="str">
        <f>F37</f>
        <v>-</v>
      </c>
      <c r="N37" s="1022"/>
      <c r="P37" s="1023" t="s">
        <v>179</v>
      </c>
      <c r="Q37" s="1024"/>
      <c r="R37" s="547">
        <f>K37</f>
        <v>2019</v>
      </c>
      <c r="S37" s="547">
        <f>L37</f>
        <v>2017</v>
      </c>
      <c r="T37" s="547" t="str">
        <f>M37</f>
        <v>-</v>
      </c>
      <c r="U37" s="1022"/>
      <c r="W37" s="544" t="s">
        <v>19</v>
      </c>
      <c r="X37" s="545">
        <v>1.3</v>
      </c>
    </row>
    <row r="38" spans="1:24" ht="13" thickBot="1" x14ac:dyDescent="0.3">
      <c r="A38" s="1039"/>
      <c r="B38" s="457">
        <v>1</v>
      </c>
      <c r="C38" s="549">
        <v>15</v>
      </c>
      <c r="D38" s="549">
        <v>-0.2</v>
      </c>
      <c r="E38" s="549">
        <v>-0.1</v>
      </c>
      <c r="F38" s="550" t="s">
        <v>180</v>
      </c>
      <c r="G38" s="551">
        <f>0.5*(MAX(D38:F38)-MIN(D38:F38))</f>
        <v>0.05</v>
      </c>
      <c r="I38" s="457">
        <v>1</v>
      </c>
      <c r="J38" s="549">
        <v>35</v>
      </c>
      <c r="K38" s="549">
        <v>-4.5</v>
      </c>
      <c r="L38" s="549">
        <v>-1.7</v>
      </c>
      <c r="M38" s="550" t="s">
        <v>180</v>
      </c>
      <c r="N38" s="551">
        <f>0.5*(MAX(K38:M38)-MIN(K38:M38))</f>
        <v>1.4</v>
      </c>
      <c r="P38" s="457">
        <v>1</v>
      </c>
      <c r="Q38" s="549">
        <v>750</v>
      </c>
      <c r="R38" s="550" t="s">
        <v>180</v>
      </c>
      <c r="S38" s="550" t="s">
        <v>180</v>
      </c>
      <c r="T38" s="550" t="s">
        <v>180</v>
      </c>
      <c r="U38" s="551">
        <f>0.5*(MAX(R38:T38)-MIN(R38:T38))</f>
        <v>0</v>
      </c>
      <c r="W38" s="552" t="s">
        <v>179</v>
      </c>
      <c r="X38" s="553">
        <v>0</v>
      </c>
    </row>
    <row r="39" spans="1:24" x14ac:dyDescent="0.25">
      <c r="A39" s="1039"/>
      <c r="B39" s="457">
        <v>2</v>
      </c>
      <c r="C39" s="549">
        <v>20</v>
      </c>
      <c r="D39" s="549">
        <v>-0.1</v>
      </c>
      <c r="E39" s="549">
        <v>-0.3</v>
      </c>
      <c r="F39" s="550" t="s">
        <v>180</v>
      </c>
      <c r="G39" s="551">
        <f t="shared" ref="G39:G44" si="9">0.5*(MAX(D39:F39)-MIN(D39:F39))</f>
        <v>9.9999999999999992E-2</v>
      </c>
      <c r="I39" s="457">
        <v>2</v>
      </c>
      <c r="J39" s="549">
        <v>40</v>
      </c>
      <c r="K39" s="549">
        <v>-4.4000000000000004</v>
      </c>
      <c r="L39" s="549">
        <v>-1.5</v>
      </c>
      <c r="M39" s="550" t="s">
        <v>180</v>
      </c>
      <c r="N39" s="551">
        <f t="shared" ref="N39:N44" si="10">0.5*(MAX(K39:L39)-MIN(K39:L39))</f>
        <v>1.4500000000000002</v>
      </c>
      <c r="P39" s="457">
        <v>2</v>
      </c>
      <c r="Q39" s="549">
        <v>800</v>
      </c>
      <c r="R39" s="550" t="s">
        <v>180</v>
      </c>
      <c r="S39" s="550" t="s">
        <v>180</v>
      </c>
      <c r="T39" s="550" t="s">
        <v>180</v>
      </c>
      <c r="U39" s="551">
        <f t="shared" ref="U39:U44" si="11">0.5*(MAX(R39:T39)-MIN(R39:T39))</f>
        <v>0</v>
      </c>
    </row>
    <row r="40" spans="1:24" x14ac:dyDescent="0.25">
      <c r="A40" s="1039"/>
      <c r="B40" s="457">
        <v>3</v>
      </c>
      <c r="C40" s="549">
        <v>25</v>
      </c>
      <c r="D40" s="549">
        <v>-0.1</v>
      </c>
      <c r="E40" s="549">
        <v>-0.5</v>
      </c>
      <c r="F40" s="550" t="s">
        <v>180</v>
      </c>
      <c r="G40" s="551">
        <f t="shared" si="9"/>
        <v>0.2</v>
      </c>
      <c r="I40" s="457">
        <v>3</v>
      </c>
      <c r="J40" s="549">
        <v>50</v>
      </c>
      <c r="K40" s="549">
        <v>-4.3</v>
      </c>
      <c r="L40" s="549">
        <v>-1</v>
      </c>
      <c r="M40" s="550" t="s">
        <v>180</v>
      </c>
      <c r="N40" s="551">
        <f t="shared" si="10"/>
        <v>1.65</v>
      </c>
      <c r="P40" s="457">
        <v>3</v>
      </c>
      <c r="Q40" s="549">
        <v>850</v>
      </c>
      <c r="R40" s="550" t="s">
        <v>180</v>
      </c>
      <c r="S40" s="550" t="s">
        <v>180</v>
      </c>
      <c r="T40" s="550" t="s">
        <v>180</v>
      </c>
      <c r="U40" s="551">
        <f t="shared" si="11"/>
        <v>0</v>
      </c>
    </row>
    <row r="41" spans="1:24" x14ac:dyDescent="0.25">
      <c r="A41" s="1039"/>
      <c r="B41" s="457">
        <v>4</v>
      </c>
      <c r="C41" s="554">
        <v>30</v>
      </c>
      <c r="D41" s="555">
        <v>-0.1</v>
      </c>
      <c r="E41" s="555">
        <v>-0.6</v>
      </c>
      <c r="F41" s="550" t="s">
        <v>180</v>
      </c>
      <c r="G41" s="551">
        <f t="shared" si="9"/>
        <v>0.25</v>
      </c>
      <c r="I41" s="457">
        <v>4</v>
      </c>
      <c r="J41" s="554">
        <v>60</v>
      </c>
      <c r="K41" s="555">
        <v>-4.2</v>
      </c>
      <c r="L41" s="555">
        <v>-0.3</v>
      </c>
      <c r="M41" s="550" t="s">
        <v>180</v>
      </c>
      <c r="N41" s="551">
        <f t="shared" si="10"/>
        <v>1.9500000000000002</v>
      </c>
      <c r="P41" s="457">
        <v>4</v>
      </c>
      <c r="Q41" s="554">
        <v>900</v>
      </c>
      <c r="R41" s="555" t="s">
        <v>180</v>
      </c>
      <c r="S41" s="555" t="s">
        <v>180</v>
      </c>
      <c r="T41" s="550" t="s">
        <v>180</v>
      </c>
      <c r="U41" s="551">
        <f t="shared" si="11"/>
        <v>0</v>
      </c>
    </row>
    <row r="42" spans="1:24" x14ac:dyDescent="0.25">
      <c r="A42" s="1039"/>
      <c r="B42" s="457">
        <v>5</v>
      </c>
      <c r="C42" s="554">
        <v>35</v>
      </c>
      <c r="D42" s="555">
        <v>-0.3</v>
      </c>
      <c r="E42" s="555">
        <v>-0.6</v>
      </c>
      <c r="F42" s="550" t="s">
        <v>180</v>
      </c>
      <c r="G42" s="551">
        <f t="shared" si="9"/>
        <v>0.15</v>
      </c>
      <c r="I42" s="457">
        <v>5</v>
      </c>
      <c r="J42" s="554">
        <v>70</v>
      </c>
      <c r="K42" s="555">
        <v>-4</v>
      </c>
      <c r="L42" s="555">
        <v>0.7</v>
      </c>
      <c r="M42" s="550" t="s">
        <v>180</v>
      </c>
      <c r="N42" s="551">
        <f t="shared" si="10"/>
        <v>2.35</v>
      </c>
      <c r="P42" s="457">
        <v>5</v>
      </c>
      <c r="Q42" s="554">
        <v>1000</v>
      </c>
      <c r="R42" s="555" t="s">
        <v>180</v>
      </c>
      <c r="S42" s="555" t="s">
        <v>180</v>
      </c>
      <c r="T42" s="550" t="s">
        <v>180</v>
      </c>
      <c r="U42" s="551">
        <f t="shared" si="11"/>
        <v>0</v>
      </c>
    </row>
    <row r="43" spans="1:24" x14ac:dyDescent="0.25">
      <c r="A43" s="1039"/>
      <c r="B43" s="457">
        <v>6</v>
      </c>
      <c r="C43" s="554">
        <v>37</v>
      </c>
      <c r="D43" s="555">
        <v>-0.4</v>
      </c>
      <c r="E43" s="555">
        <v>-0.6</v>
      </c>
      <c r="F43" s="550" t="s">
        <v>180</v>
      </c>
      <c r="G43" s="551">
        <f t="shared" si="9"/>
        <v>9.9999999999999978E-2</v>
      </c>
      <c r="I43" s="457">
        <v>6</v>
      </c>
      <c r="J43" s="554">
        <v>80</v>
      </c>
      <c r="K43" s="555">
        <v>-3.8</v>
      </c>
      <c r="L43" s="555">
        <v>1.9</v>
      </c>
      <c r="M43" s="550" t="s">
        <v>180</v>
      </c>
      <c r="N43" s="551">
        <f t="shared" si="10"/>
        <v>2.8499999999999996</v>
      </c>
      <c r="P43" s="457">
        <v>6</v>
      </c>
      <c r="Q43" s="554">
        <v>1005</v>
      </c>
      <c r="R43" s="555" t="s">
        <v>180</v>
      </c>
      <c r="S43" s="555" t="s">
        <v>180</v>
      </c>
      <c r="T43" s="550" t="s">
        <v>180</v>
      </c>
      <c r="U43" s="551">
        <f t="shared" si="11"/>
        <v>0</v>
      </c>
    </row>
    <row r="44" spans="1:24" ht="13" thickBot="1" x14ac:dyDescent="0.3">
      <c r="A44" s="1040"/>
      <c r="B44" s="457">
        <v>7</v>
      </c>
      <c r="C44" s="554">
        <v>40</v>
      </c>
      <c r="D44" s="555">
        <v>-0.5</v>
      </c>
      <c r="E44" s="555">
        <v>-0.6</v>
      </c>
      <c r="F44" s="550" t="s">
        <v>180</v>
      </c>
      <c r="G44" s="551">
        <f t="shared" si="9"/>
        <v>4.9999999999999989E-2</v>
      </c>
      <c r="I44" s="457">
        <v>7</v>
      </c>
      <c r="J44" s="554">
        <v>90</v>
      </c>
      <c r="K44" s="555">
        <v>-3.5</v>
      </c>
      <c r="L44" s="555">
        <v>3.3</v>
      </c>
      <c r="M44" s="550" t="s">
        <v>180</v>
      </c>
      <c r="N44" s="551">
        <f t="shared" si="10"/>
        <v>3.4</v>
      </c>
      <c r="P44" s="457">
        <v>7</v>
      </c>
      <c r="Q44" s="554">
        <v>1020</v>
      </c>
      <c r="R44" s="555" t="s">
        <v>180</v>
      </c>
      <c r="S44" s="555" t="s">
        <v>180</v>
      </c>
      <c r="T44" s="550" t="s">
        <v>180</v>
      </c>
      <c r="U44" s="551">
        <f t="shared" si="11"/>
        <v>0</v>
      </c>
    </row>
    <row r="45" spans="1:24" ht="13.5" thickBot="1" x14ac:dyDescent="0.35">
      <c r="A45" s="556"/>
      <c r="B45" s="470"/>
      <c r="O45" s="557"/>
      <c r="P45" s="490"/>
    </row>
    <row r="46" spans="1:24" x14ac:dyDescent="0.25">
      <c r="A46" s="1038">
        <v>5</v>
      </c>
      <c r="B46" s="1025" t="s">
        <v>184</v>
      </c>
      <c r="C46" s="1025"/>
      <c r="D46" s="1025"/>
      <c r="E46" s="1025"/>
      <c r="F46" s="1025"/>
      <c r="G46" s="1025"/>
      <c r="I46" s="1025" t="str">
        <f>B46</f>
        <v>KOREKSI KIMO THERMOHYGROMETER 15062875</v>
      </c>
      <c r="J46" s="1025"/>
      <c r="K46" s="1025"/>
      <c r="L46" s="1025"/>
      <c r="M46" s="1025"/>
      <c r="N46" s="1025"/>
      <c r="P46" s="1025" t="str">
        <f>I46</f>
        <v>KOREKSI KIMO THERMOHYGROMETER 15062875</v>
      </c>
      <c r="Q46" s="1025"/>
      <c r="R46" s="1025"/>
      <c r="S46" s="1025"/>
      <c r="T46" s="1025"/>
      <c r="U46" s="1025"/>
      <c r="W46" s="1020" t="s">
        <v>173</v>
      </c>
      <c r="X46" s="1021"/>
    </row>
    <row r="47" spans="1:24" ht="13" x14ac:dyDescent="0.25">
      <c r="A47" s="1039"/>
      <c r="B47" s="1022" t="s">
        <v>174</v>
      </c>
      <c r="C47" s="1022"/>
      <c r="D47" s="1022" t="s">
        <v>175</v>
      </c>
      <c r="E47" s="1022"/>
      <c r="F47" s="1022"/>
      <c r="G47" s="1022" t="s">
        <v>176</v>
      </c>
      <c r="I47" s="1022" t="s">
        <v>177</v>
      </c>
      <c r="J47" s="1022"/>
      <c r="K47" s="1022" t="s">
        <v>175</v>
      </c>
      <c r="L47" s="1022"/>
      <c r="M47" s="1022"/>
      <c r="N47" s="1022" t="s">
        <v>176</v>
      </c>
      <c r="P47" s="1022" t="s">
        <v>178</v>
      </c>
      <c r="Q47" s="1022"/>
      <c r="R47" s="1022" t="s">
        <v>175</v>
      </c>
      <c r="S47" s="1022"/>
      <c r="T47" s="1022"/>
      <c r="U47" s="1022" t="s">
        <v>176</v>
      </c>
      <c r="W47" s="544" t="s">
        <v>174</v>
      </c>
      <c r="X47" s="545">
        <v>0.4</v>
      </c>
    </row>
    <row r="48" spans="1:24" ht="14.5" x14ac:dyDescent="0.25">
      <c r="A48" s="1039"/>
      <c r="B48" s="1024" t="s">
        <v>388</v>
      </c>
      <c r="C48" s="1024"/>
      <c r="D48" s="547">
        <v>2020</v>
      </c>
      <c r="E48" s="547">
        <v>2017</v>
      </c>
      <c r="F48" s="548" t="s">
        <v>180</v>
      </c>
      <c r="G48" s="1022"/>
      <c r="I48" s="1023" t="s">
        <v>19</v>
      </c>
      <c r="J48" s="1024"/>
      <c r="K48" s="547">
        <f>D48</f>
        <v>2020</v>
      </c>
      <c r="L48" s="547">
        <f>E48</f>
        <v>2017</v>
      </c>
      <c r="M48" s="547" t="str">
        <f>F48</f>
        <v>-</v>
      </c>
      <c r="N48" s="1022"/>
      <c r="P48" s="1023" t="s">
        <v>179</v>
      </c>
      <c r="Q48" s="1024"/>
      <c r="R48" s="547">
        <f>K48</f>
        <v>2020</v>
      </c>
      <c r="S48" s="547">
        <f>L48</f>
        <v>2017</v>
      </c>
      <c r="T48" s="547" t="str">
        <f>M48</f>
        <v>-</v>
      </c>
      <c r="U48" s="1022"/>
      <c r="W48" s="544" t="s">
        <v>19</v>
      </c>
      <c r="X48" s="545">
        <v>2.8</v>
      </c>
    </row>
    <row r="49" spans="1:24" ht="13" thickBot="1" x14ac:dyDescent="0.3">
      <c r="A49" s="1039"/>
      <c r="B49" s="457">
        <v>1</v>
      </c>
      <c r="C49" s="549">
        <v>15</v>
      </c>
      <c r="D49" s="549">
        <v>-0.3</v>
      </c>
      <c r="E49" s="549">
        <v>0.3</v>
      </c>
      <c r="F49" s="550" t="s">
        <v>180</v>
      </c>
      <c r="G49" s="551">
        <f>0.5*(MAX(D49:F49)-MIN(D49:F49))</f>
        <v>0.3</v>
      </c>
      <c r="I49" s="457">
        <v>1</v>
      </c>
      <c r="J49" s="549">
        <v>35</v>
      </c>
      <c r="K49" s="549">
        <v>-7.7</v>
      </c>
      <c r="L49" s="549">
        <v>-9.6</v>
      </c>
      <c r="M49" s="550" t="s">
        <v>180</v>
      </c>
      <c r="N49" s="551">
        <f>0.5*(MAX(K49:M49)-MIN(K49:M49))</f>
        <v>0.94999999999999973</v>
      </c>
      <c r="P49" s="457">
        <v>1</v>
      </c>
      <c r="Q49" s="549">
        <v>750</v>
      </c>
      <c r="R49" s="550" t="s">
        <v>180</v>
      </c>
      <c r="S49" s="550" t="s">
        <v>180</v>
      </c>
      <c r="T49" s="550" t="s">
        <v>180</v>
      </c>
      <c r="U49" s="551">
        <f>0.5*(MAX(R49:T49)-MIN(R49:T49))</f>
        <v>0</v>
      </c>
      <c r="W49" s="552" t="s">
        <v>179</v>
      </c>
      <c r="X49" s="553">
        <v>0</v>
      </c>
    </row>
    <row r="50" spans="1:24" x14ac:dyDescent="0.25">
      <c r="A50" s="1039"/>
      <c r="B50" s="457">
        <v>2</v>
      </c>
      <c r="C50" s="549">
        <v>20</v>
      </c>
      <c r="D50" s="549">
        <v>0.1</v>
      </c>
      <c r="E50" s="549">
        <v>0.3</v>
      </c>
      <c r="F50" s="550" t="s">
        <v>180</v>
      </c>
      <c r="G50" s="551">
        <f t="shared" ref="G50:G55" si="12">0.5*(MAX(D50:F50)-MIN(D50:F50))</f>
        <v>9.9999999999999992E-2</v>
      </c>
      <c r="I50" s="457">
        <v>2</v>
      </c>
      <c r="J50" s="549">
        <v>40</v>
      </c>
      <c r="K50" s="549">
        <v>-7.2</v>
      </c>
      <c r="L50" s="549">
        <v>-8</v>
      </c>
      <c r="M50" s="550" t="s">
        <v>180</v>
      </c>
      <c r="N50" s="551">
        <f t="shared" ref="N50:N55" si="13">0.5*(MAX(K50:M50)-MIN(K50:M50))</f>
        <v>0.39999999999999991</v>
      </c>
      <c r="P50" s="457">
        <v>2</v>
      </c>
      <c r="Q50" s="549">
        <v>800</v>
      </c>
      <c r="R50" s="550" t="s">
        <v>180</v>
      </c>
      <c r="S50" s="550" t="s">
        <v>180</v>
      </c>
      <c r="T50" s="550" t="s">
        <v>180</v>
      </c>
      <c r="U50" s="551">
        <f t="shared" ref="U50:U55" si="14">0.5*(MAX(R50:T50)-MIN(R50:T50))</f>
        <v>0</v>
      </c>
    </row>
    <row r="51" spans="1:24" x14ac:dyDescent="0.25">
      <c r="A51" s="1039"/>
      <c r="B51" s="457">
        <v>3</v>
      </c>
      <c r="C51" s="549">
        <v>25</v>
      </c>
      <c r="D51" s="549">
        <v>0.4</v>
      </c>
      <c r="E51" s="549">
        <v>0.2</v>
      </c>
      <c r="F51" s="550" t="s">
        <v>180</v>
      </c>
      <c r="G51" s="551">
        <f t="shared" si="12"/>
        <v>0.1</v>
      </c>
      <c r="I51" s="457">
        <v>3</v>
      </c>
      <c r="J51" s="549">
        <v>50</v>
      </c>
      <c r="K51" s="549">
        <v>-6.2</v>
      </c>
      <c r="L51" s="549">
        <v>-6.2</v>
      </c>
      <c r="M51" s="550" t="s">
        <v>180</v>
      </c>
      <c r="N51" s="551">
        <f t="shared" si="13"/>
        <v>0</v>
      </c>
      <c r="P51" s="457">
        <v>3</v>
      </c>
      <c r="Q51" s="549">
        <v>850</v>
      </c>
      <c r="R51" s="550" t="s">
        <v>180</v>
      </c>
      <c r="S51" s="550" t="s">
        <v>180</v>
      </c>
      <c r="T51" s="550" t="s">
        <v>180</v>
      </c>
      <c r="U51" s="551">
        <f t="shared" si="14"/>
        <v>0</v>
      </c>
    </row>
    <row r="52" spans="1:24" x14ac:dyDescent="0.25">
      <c r="A52" s="1039"/>
      <c r="B52" s="457">
        <v>4</v>
      </c>
      <c r="C52" s="554">
        <v>30</v>
      </c>
      <c r="D52" s="555">
        <v>0.6</v>
      </c>
      <c r="E52" s="555">
        <v>0.1</v>
      </c>
      <c r="F52" s="550" t="s">
        <v>180</v>
      </c>
      <c r="G52" s="551">
        <f t="shared" si="12"/>
        <v>0.25</v>
      </c>
      <c r="I52" s="457">
        <v>4</v>
      </c>
      <c r="J52" s="554">
        <v>60</v>
      </c>
      <c r="K52" s="555">
        <v>-5.2</v>
      </c>
      <c r="L52" s="555">
        <v>-4.2</v>
      </c>
      <c r="M52" s="550" t="s">
        <v>180</v>
      </c>
      <c r="N52" s="551">
        <f t="shared" si="13"/>
        <v>0.5</v>
      </c>
      <c r="P52" s="457">
        <v>4</v>
      </c>
      <c r="Q52" s="554">
        <v>900</v>
      </c>
      <c r="R52" s="555" t="s">
        <v>180</v>
      </c>
      <c r="S52" s="555" t="s">
        <v>180</v>
      </c>
      <c r="T52" s="550" t="s">
        <v>180</v>
      </c>
      <c r="U52" s="551">
        <f t="shared" si="14"/>
        <v>0</v>
      </c>
    </row>
    <row r="53" spans="1:24" x14ac:dyDescent="0.25">
      <c r="A53" s="1039"/>
      <c r="B53" s="457">
        <v>5</v>
      </c>
      <c r="C53" s="554">
        <v>35</v>
      </c>
      <c r="D53" s="555">
        <v>0.7</v>
      </c>
      <c r="E53" s="555">
        <v>9.9999999999999995E-7</v>
      </c>
      <c r="F53" s="550" t="s">
        <v>180</v>
      </c>
      <c r="G53" s="551">
        <f t="shared" si="12"/>
        <v>0.34999949999999996</v>
      </c>
      <c r="I53" s="457">
        <v>5</v>
      </c>
      <c r="J53" s="554">
        <v>70</v>
      </c>
      <c r="K53" s="555">
        <v>-4.0999999999999996</v>
      </c>
      <c r="L53" s="555">
        <v>-2.1</v>
      </c>
      <c r="M53" s="550" t="s">
        <v>180</v>
      </c>
      <c r="N53" s="551">
        <f t="shared" si="13"/>
        <v>0.99999999999999978</v>
      </c>
      <c r="P53" s="457">
        <v>5</v>
      </c>
      <c r="Q53" s="554">
        <v>1000</v>
      </c>
      <c r="R53" s="555" t="s">
        <v>180</v>
      </c>
      <c r="S53" s="555" t="s">
        <v>180</v>
      </c>
      <c r="T53" s="550" t="s">
        <v>180</v>
      </c>
      <c r="U53" s="551">
        <f t="shared" si="14"/>
        <v>0</v>
      </c>
    </row>
    <row r="54" spans="1:24" x14ac:dyDescent="0.25">
      <c r="A54" s="1039"/>
      <c r="B54" s="457">
        <v>6</v>
      </c>
      <c r="C54" s="554">
        <v>37</v>
      </c>
      <c r="D54" s="555">
        <v>0.7</v>
      </c>
      <c r="E54" s="555">
        <v>9.9999999999999995E-7</v>
      </c>
      <c r="F54" s="550" t="s">
        <v>180</v>
      </c>
      <c r="G54" s="551">
        <f t="shared" si="12"/>
        <v>0.34999949999999996</v>
      </c>
      <c r="I54" s="457">
        <v>6</v>
      </c>
      <c r="J54" s="554">
        <v>80</v>
      </c>
      <c r="K54" s="555">
        <v>-3</v>
      </c>
      <c r="L54" s="555">
        <v>0.2</v>
      </c>
      <c r="M54" s="550" t="s">
        <v>180</v>
      </c>
      <c r="N54" s="551">
        <f t="shared" si="13"/>
        <v>1.6</v>
      </c>
      <c r="P54" s="457">
        <v>6</v>
      </c>
      <c r="Q54" s="554">
        <v>1005</v>
      </c>
      <c r="R54" s="555" t="s">
        <v>180</v>
      </c>
      <c r="S54" s="555" t="s">
        <v>180</v>
      </c>
      <c r="T54" s="550" t="s">
        <v>180</v>
      </c>
      <c r="U54" s="551">
        <f t="shared" si="14"/>
        <v>0</v>
      </c>
    </row>
    <row r="55" spans="1:24" ht="13" thickBot="1" x14ac:dyDescent="0.3">
      <c r="A55" s="1040"/>
      <c r="B55" s="457">
        <v>7</v>
      </c>
      <c r="C55" s="554">
        <v>40</v>
      </c>
      <c r="D55" s="555">
        <v>0.7</v>
      </c>
      <c r="E55" s="555">
        <v>-0.1</v>
      </c>
      <c r="F55" s="550" t="s">
        <v>180</v>
      </c>
      <c r="G55" s="551">
        <f t="shared" si="12"/>
        <v>0.39999999999999997</v>
      </c>
      <c r="I55" s="457">
        <v>7</v>
      </c>
      <c r="J55" s="554">
        <v>90</v>
      </c>
      <c r="K55" s="555">
        <v>-1.8</v>
      </c>
      <c r="L55" s="555">
        <v>2.7</v>
      </c>
      <c r="M55" s="550" t="s">
        <v>180</v>
      </c>
      <c r="N55" s="551">
        <f t="shared" si="13"/>
        <v>2.25</v>
      </c>
      <c r="P55" s="457">
        <v>7</v>
      </c>
      <c r="Q55" s="554">
        <v>1020</v>
      </c>
      <c r="R55" s="555" t="s">
        <v>180</v>
      </c>
      <c r="S55" s="555" t="s">
        <v>180</v>
      </c>
      <c r="T55" s="550" t="s">
        <v>180</v>
      </c>
      <c r="U55" s="551">
        <f t="shared" si="14"/>
        <v>0</v>
      </c>
    </row>
    <row r="56" spans="1:24" ht="13.5" thickBot="1" x14ac:dyDescent="0.35">
      <c r="A56" s="559"/>
      <c r="B56" s="101"/>
      <c r="C56" s="101"/>
      <c r="D56" s="101"/>
      <c r="E56" s="560"/>
      <c r="F56" s="101"/>
      <c r="G56" s="65"/>
      <c r="H56" s="101"/>
      <c r="I56" s="101"/>
      <c r="J56" s="101"/>
      <c r="K56" s="560"/>
      <c r="L56" s="101"/>
      <c r="O56" s="557"/>
      <c r="P56" s="490"/>
    </row>
    <row r="57" spans="1:24" x14ac:dyDescent="0.25">
      <c r="A57" s="1034">
        <v>6</v>
      </c>
      <c r="B57" s="1025" t="s">
        <v>185</v>
      </c>
      <c r="C57" s="1025"/>
      <c r="D57" s="1025"/>
      <c r="E57" s="1025"/>
      <c r="F57" s="1025"/>
      <c r="G57" s="1025"/>
      <c r="I57" s="1025" t="str">
        <f>B57</f>
        <v>KOREKSI GREISINGER 34903046</v>
      </c>
      <c r="J57" s="1025"/>
      <c r="K57" s="1025"/>
      <c r="L57" s="1025"/>
      <c r="M57" s="1025"/>
      <c r="N57" s="1025"/>
      <c r="P57" s="1025" t="str">
        <f>I57</f>
        <v>KOREKSI GREISINGER 34903046</v>
      </c>
      <c r="Q57" s="1025"/>
      <c r="R57" s="1025"/>
      <c r="S57" s="1025"/>
      <c r="T57" s="1025"/>
      <c r="U57" s="1025"/>
      <c r="W57" s="1020" t="s">
        <v>173</v>
      </c>
      <c r="X57" s="1021"/>
    </row>
    <row r="58" spans="1:24" ht="13" x14ac:dyDescent="0.25">
      <c r="A58" s="1034"/>
      <c r="B58" s="1022" t="s">
        <v>174</v>
      </c>
      <c r="C58" s="1022"/>
      <c r="D58" s="1022" t="s">
        <v>175</v>
      </c>
      <c r="E58" s="1022"/>
      <c r="F58" s="1022"/>
      <c r="G58" s="1022" t="s">
        <v>176</v>
      </c>
      <c r="I58" s="1022" t="s">
        <v>177</v>
      </c>
      <c r="J58" s="1022"/>
      <c r="K58" s="1022" t="s">
        <v>175</v>
      </c>
      <c r="L58" s="1022"/>
      <c r="M58" s="1022"/>
      <c r="N58" s="1022" t="s">
        <v>176</v>
      </c>
      <c r="P58" s="1022" t="s">
        <v>178</v>
      </c>
      <c r="Q58" s="1022"/>
      <c r="R58" s="1026" t="s">
        <v>175</v>
      </c>
      <c r="S58" s="1027"/>
      <c r="T58" s="1028"/>
      <c r="U58" s="1022" t="s">
        <v>176</v>
      </c>
      <c r="W58" s="544" t="s">
        <v>174</v>
      </c>
      <c r="X58" s="545">
        <v>0.8</v>
      </c>
    </row>
    <row r="59" spans="1:24" ht="14.5" x14ac:dyDescent="0.25">
      <c r="A59" s="1034"/>
      <c r="B59" s="1024" t="s">
        <v>388</v>
      </c>
      <c r="C59" s="1024"/>
      <c r="D59" s="547">
        <v>2019</v>
      </c>
      <c r="E59" s="547">
        <v>2018</v>
      </c>
      <c r="F59" s="548" t="s">
        <v>180</v>
      </c>
      <c r="G59" s="1022"/>
      <c r="I59" s="1023" t="s">
        <v>19</v>
      </c>
      <c r="J59" s="1024"/>
      <c r="K59" s="547">
        <f>D59</f>
        <v>2019</v>
      </c>
      <c r="L59" s="547">
        <f>E59</f>
        <v>2018</v>
      </c>
      <c r="M59" s="547" t="str">
        <f>F59</f>
        <v>-</v>
      </c>
      <c r="N59" s="1022"/>
      <c r="P59" s="1023" t="s">
        <v>179</v>
      </c>
      <c r="Q59" s="1024"/>
      <c r="R59" s="547">
        <f>K59</f>
        <v>2019</v>
      </c>
      <c r="S59" s="547">
        <f>L59</f>
        <v>2018</v>
      </c>
      <c r="T59" s="547" t="str">
        <f>M59</f>
        <v>-</v>
      </c>
      <c r="U59" s="1022"/>
      <c r="W59" s="544" t="s">
        <v>19</v>
      </c>
      <c r="X59" s="545">
        <v>2.6</v>
      </c>
    </row>
    <row r="60" spans="1:24" ht="13" thickBot="1" x14ac:dyDescent="0.3">
      <c r="A60" s="1034"/>
      <c r="B60" s="457">
        <v>1</v>
      </c>
      <c r="C60" s="549">
        <v>15</v>
      </c>
      <c r="D60" s="549">
        <v>0.4</v>
      </c>
      <c r="E60" s="549">
        <v>0.4</v>
      </c>
      <c r="F60" s="550" t="s">
        <v>180</v>
      </c>
      <c r="G60" s="551">
        <f>0.5*(MAX(D60:F60)-MIN(D60:F60))</f>
        <v>0</v>
      </c>
      <c r="I60" s="457">
        <v>1</v>
      </c>
      <c r="J60" s="549">
        <v>30</v>
      </c>
      <c r="K60" s="549">
        <v>-1.5</v>
      </c>
      <c r="L60" s="549">
        <v>1.7</v>
      </c>
      <c r="M60" s="550" t="s">
        <v>180</v>
      </c>
      <c r="N60" s="551">
        <f>0.5*(MAX(K60:M60)-MIN(K60:M60))</f>
        <v>1.6</v>
      </c>
      <c r="P60" s="457">
        <v>1</v>
      </c>
      <c r="Q60" s="549">
        <v>750</v>
      </c>
      <c r="R60" s="549">
        <v>0.9</v>
      </c>
      <c r="S60" s="549">
        <v>2.1</v>
      </c>
      <c r="T60" s="550" t="s">
        <v>180</v>
      </c>
      <c r="U60" s="551">
        <f>0.5*(MAX(R60:T60)-MIN(R60:T60))</f>
        <v>0.60000000000000009</v>
      </c>
      <c r="W60" s="552" t="s">
        <v>179</v>
      </c>
      <c r="X60" s="553">
        <v>1.6</v>
      </c>
    </row>
    <row r="61" spans="1:24" x14ac:dyDescent="0.25">
      <c r="A61" s="1034"/>
      <c r="B61" s="457">
        <v>2</v>
      </c>
      <c r="C61" s="549">
        <v>20</v>
      </c>
      <c r="D61" s="549">
        <v>0.3</v>
      </c>
      <c r="E61" s="549">
        <v>0.2</v>
      </c>
      <c r="F61" s="550" t="s">
        <v>180</v>
      </c>
      <c r="G61" s="551">
        <f t="shared" ref="G61:G66" si="15">0.5*(MAX(D61:F61)-MIN(D61:F61))</f>
        <v>4.9999999999999989E-2</v>
      </c>
      <c r="I61" s="457">
        <v>2</v>
      </c>
      <c r="J61" s="549">
        <v>40</v>
      </c>
      <c r="K61" s="549">
        <v>-3.8</v>
      </c>
      <c r="L61" s="549">
        <v>1.5</v>
      </c>
      <c r="M61" s="550" t="s">
        <v>180</v>
      </c>
      <c r="N61" s="551">
        <f t="shared" ref="N61:N66" si="16">0.5*(MAX(K61:M61)-MIN(K61:M61))</f>
        <v>2.65</v>
      </c>
      <c r="P61" s="457">
        <v>2</v>
      </c>
      <c r="Q61" s="549">
        <v>800</v>
      </c>
      <c r="R61" s="549">
        <v>0.9</v>
      </c>
      <c r="S61" s="549">
        <v>1.6</v>
      </c>
      <c r="T61" s="550" t="s">
        <v>180</v>
      </c>
      <c r="U61" s="551">
        <f t="shared" ref="U61:U66" si="17">0.5*(MAX(R61:T61)-MIN(R61:T61))</f>
        <v>0.35000000000000003</v>
      </c>
    </row>
    <row r="62" spans="1:24" x14ac:dyDescent="0.25">
      <c r="A62" s="1034"/>
      <c r="B62" s="457">
        <v>3</v>
      </c>
      <c r="C62" s="549">
        <v>25</v>
      </c>
      <c r="D62" s="549">
        <v>0.2</v>
      </c>
      <c r="E62" s="549">
        <v>-0.1</v>
      </c>
      <c r="F62" s="550" t="s">
        <v>180</v>
      </c>
      <c r="G62" s="551">
        <f t="shared" si="15"/>
        <v>0.15000000000000002</v>
      </c>
      <c r="I62" s="457">
        <v>3</v>
      </c>
      <c r="J62" s="549">
        <v>50</v>
      </c>
      <c r="K62" s="549">
        <v>-5.4</v>
      </c>
      <c r="L62" s="549">
        <v>1.2</v>
      </c>
      <c r="M62" s="550" t="s">
        <v>180</v>
      </c>
      <c r="N62" s="551">
        <f t="shared" si="16"/>
        <v>3.3000000000000003</v>
      </c>
      <c r="P62" s="457">
        <v>3</v>
      </c>
      <c r="Q62" s="549">
        <v>850</v>
      </c>
      <c r="R62" s="549">
        <v>0.9</v>
      </c>
      <c r="S62" s="549">
        <v>1.1000000000000001</v>
      </c>
      <c r="T62" s="550" t="s">
        <v>180</v>
      </c>
      <c r="U62" s="551">
        <f t="shared" si="17"/>
        <v>0.10000000000000003</v>
      </c>
    </row>
    <row r="63" spans="1:24" x14ac:dyDescent="0.25">
      <c r="A63" s="1034"/>
      <c r="B63" s="457">
        <v>4</v>
      </c>
      <c r="C63" s="554">
        <v>30</v>
      </c>
      <c r="D63" s="554">
        <v>0.1</v>
      </c>
      <c r="E63" s="554">
        <v>-0.5</v>
      </c>
      <c r="F63" s="550" t="s">
        <v>180</v>
      </c>
      <c r="G63" s="551">
        <f t="shared" si="15"/>
        <v>0.3</v>
      </c>
      <c r="I63" s="457">
        <v>4</v>
      </c>
      <c r="J63" s="554">
        <v>60</v>
      </c>
      <c r="K63" s="554">
        <v>-6.4</v>
      </c>
      <c r="L63" s="554">
        <v>1.1000000000000001</v>
      </c>
      <c r="M63" s="550" t="s">
        <v>180</v>
      </c>
      <c r="N63" s="551">
        <f t="shared" si="16"/>
        <v>3.75</v>
      </c>
      <c r="P63" s="457">
        <v>4</v>
      </c>
      <c r="Q63" s="554">
        <v>900</v>
      </c>
      <c r="R63" s="554">
        <v>0.9</v>
      </c>
      <c r="S63" s="554">
        <v>0.7</v>
      </c>
      <c r="T63" s="550" t="s">
        <v>180</v>
      </c>
      <c r="U63" s="551">
        <f t="shared" si="17"/>
        <v>0.10000000000000003</v>
      </c>
    </row>
    <row r="64" spans="1:24" x14ac:dyDescent="0.25">
      <c r="A64" s="1034"/>
      <c r="B64" s="457">
        <v>5</v>
      </c>
      <c r="C64" s="554">
        <v>35</v>
      </c>
      <c r="D64" s="554">
        <v>0.1</v>
      </c>
      <c r="E64" s="554">
        <v>-0.9</v>
      </c>
      <c r="F64" s="550" t="s">
        <v>180</v>
      </c>
      <c r="G64" s="551">
        <f t="shared" si="15"/>
        <v>0.5</v>
      </c>
      <c r="I64" s="457">
        <v>5</v>
      </c>
      <c r="J64" s="554">
        <v>70</v>
      </c>
      <c r="K64" s="554">
        <v>-6.7</v>
      </c>
      <c r="L64" s="554">
        <v>0.9</v>
      </c>
      <c r="M64" s="550" t="s">
        <v>180</v>
      </c>
      <c r="N64" s="551">
        <f t="shared" si="16"/>
        <v>3.8000000000000003</v>
      </c>
      <c r="P64" s="457">
        <v>5</v>
      </c>
      <c r="Q64" s="554">
        <v>1000</v>
      </c>
      <c r="R64" s="554">
        <v>0.9</v>
      </c>
      <c r="S64" s="554">
        <v>-0.3</v>
      </c>
      <c r="T64" s="550" t="s">
        <v>180</v>
      </c>
      <c r="U64" s="551">
        <f t="shared" si="17"/>
        <v>0.6</v>
      </c>
    </row>
    <row r="65" spans="1:24" x14ac:dyDescent="0.25">
      <c r="A65" s="1034"/>
      <c r="B65" s="457">
        <v>6</v>
      </c>
      <c r="C65" s="554">
        <v>37</v>
      </c>
      <c r="D65" s="554">
        <v>0.1</v>
      </c>
      <c r="E65" s="554">
        <v>-1.1000000000000001</v>
      </c>
      <c r="F65" s="550" t="s">
        <v>180</v>
      </c>
      <c r="G65" s="551">
        <f t="shared" si="15"/>
        <v>0.60000000000000009</v>
      </c>
      <c r="I65" s="457">
        <v>6</v>
      </c>
      <c r="J65" s="554">
        <v>80</v>
      </c>
      <c r="K65" s="554">
        <v>-6.3</v>
      </c>
      <c r="L65" s="554">
        <v>0.8</v>
      </c>
      <c r="M65" s="550" t="s">
        <v>180</v>
      </c>
      <c r="N65" s="551">
        <f t="shared" si="16"/>
        <v>3.55</v>
      </c>
      <c r="P65" s="457">
        <v>6</v>
      </c>
      <c r="Q65" s="554">
        <v>1005</v>
      </c>
      <c r="R65" s="554">
        <v>0.9</v>
      </c>
      <c r="S65" s="554">
        <v>-0.3</v>
      </c>
      <c r="T65" s="550" t="s">
        <v>180</v>
      </c>
      <c r="U65" s="551">
        <f t="shared" si="17"/>
        <v>0.6</v>
      </c>
    </row>
    <row r="66" spans="1:24" x14ac:dyDescent="0.25">
      <c r="A66" s="1034"/>
      <c r="B66" s="457">
        <v>7</v>
      </c>
      <c r="C66" s="554">
        <v>40</v>
      </c>
      <c r="D66" s="554">
        <v>0.1</v>
      </c>
      <c r="E66" s="554">
        <v>-1.4</v>
      </c>
      <c r="F66" s="550" t="s">
        <v>180</v>
      </c>
      <c r="G66" s="551">
        <f t="shared" si="15"/>
        <v>0.75</v>
      </c>
      <c r="I66" s="457">
        <v>7</v>
      </c>
      <c r="J66" s="554">
        <v>90</v>
      </c>
      <c r="K66" s="554">
        <v>-5.2</v>
      </c>
      <c r="L66" s="554">
        <v>0.7</v>
      </c>
      <c r="M66" s="550" t="s">
        <v>180</v>
      </c>
      <c r="N66" s="551">
        <f t="shared" si="16"/>
        <v>2.95</v>
      </c>
      <c r="P66" s="457">
        <v>7</v>
      </c>
      <c r="Q66" s="554">
        <v>1020</v>
      </c>
      <c r="R66" s="554">
        <v>0.9</v>
      </c>
      <c r="S66" s="554">
        <v>9.9999999999999995E-7</v>
      </c>
      <c r="T66" s="550" t="s">
        <v>180</v>
      </c>
      <c r="U66" s="551">
        <f t="shared" si="17"/>
        <v>0.4499995</v>
      </c>
    </row>
    <row r="67" spans="1:24" ht="13.5" thickBot="1" x14ac:dyDescent="0.35">
      <c r="A67" s="559"/>
      <c r="B67" s="101"/>
      <c r="C67" s="101"/>
      <c r="D67" s="101"/>
      <c r="E67" s="560"/>
      <c r="F67" s="101"/>
      <c r="G67" s="65"/>
      <c r="I67" s="101"/>
      <c r="J67" s="101"/>
      <c r="K67" s="101"/>
      <c r="L67" s="560"/>
      <c r="M67" s="101"/>
      <c r="R67" s="490"/>
    </row>
    <row r="68" spans="1:24" x14ac:dyDescent="0.25">
      <c r="A68" s="1034">
        <v>7</v>
      </c>
      <c r="B68" s="1025" t="s">
        <v>186</v>
      </c>
      <c r="C68" s="1025"/>
      <c r="D68" s="1025"/>
      <c r="E68" s="1025"/>
      <c r="F68" s="1025"/>
      <c r="G68" s="1025"/>
      <c r="I68" s="1025" t="str">
        <f>B68</f>
        <v>KOREKSI GREISINGER 34903053</v>
      </c>
      <c r="J68" s="1025"/>
      <c r="K68" s="1025"/>
      <c r="L68" s="1025"/>
      <c r="M68" s="1025"/>
      <c r="N68" s="1025"/>
      <c r="P68" s="1025" t="str">
        <f>I68</f>
        <v>KOREKSI GREISINGER 34903053</v>
      </c>
      <c r="Q68" s="1025"/>
      <c r="R68" s="1025"/>
      <c r="S68" s="1025"/>
      <c r="T68" s="1025"/>
      <c r="U68" s="1025"/>
      <c r="W68" s="1020" t="s">
        <v>173</v>
      </c>
      <c r="X68" s="1021"/>
    </row>
    <row r="69" spans="1:24" ht="13" x14ac:dyDescent="0.25">
      <c r="A69" s="1034"/>
      <c r="B69" s="1022" t="s">
        <v>174</v>
      </c>
      <c r="C69" s="1022"/>
      <c r="D69" s="1022" t="s">
        <v>175</v>
      </c>
      <c r="E69" s="1022"/>
      <c r="F69" s="1022"/>
      <c r="G69" s="1022" t="s">
        <v>176</v>
      </c>
      <c r="I69" s="1022" t="s">
        <v>177</v>
      </c>
      <c r="J69" s="1022"/>
      <c r="K69" s="1022" t="s">
        <v>175</v>
      </c>
      <c r="L69" s="1022"/>
      <c r="M69" s="1022"/>
      <c r="N69" s="1022" t="s">
        <v>176</v>
      </c>
      <c r="P69" s="1022" t="s">
        <v>178</v>
      </c>
      <c r="Q69" s="1022"/>
      <c r="R69" s="1022" t="s">
        <v>175</v>
      </c>
      <c r="S69" s="1022"/>
      <c r="T69" s="1022"/>
      <c r="U69" s="1022" t="s">
        <v>176</v>
      </c>
      <c r="W69" s="544" t="s">
        <v>174</v>
      </c>
      <c r="X69" s="545">
        <v>0.2</v>
      </c>
    </row>
    <row r="70" spans="1:24" ht="14.5" x14ac:dyDescent="0.25">
      <c r="A70" s="1034"/>
      <c r="B70" s="1024" t="s">
        <v>388</v>
      </c>
      <c r="C70" s="1024"/>
      <c r="D70" s="547">
        <v>2021</v>
      </c>
      <c r="E70" s="547">
        <v>2018</v>
      </c>
      <c r="F70" s="548" t="s">
        <v>180</v>
      </c>
      <c r="G70" s="1022"/>
      <c r="I70" s="1023" t="s">
        <v>19</v>
      </c>
      <c r="J70" s="1024"/>
      <c r="K70" s="547">
        <f>D70</f>
        <v>2021</v>
      </c>
      <c r="L70" s="547">
        <f>E70</f>
        <v>2018</v>
      </c>
      <c r="M70" s="547" t="str">
        <f>F70</f>
        <v>-</v>
      </c>
      <c r="N70" s="1022"/>
      <c r="P70" s="1023" t="s">
        <v>179</v>
      </c>
      <c r="Q70" s="1024"/>
      <c r="R70" s="547">
        <f>K70</f>
        <v>2021</v>
      </c>
      <c r="S70" s="547">
        <f>L70</f>
        <v>2018</v>
      </c>
      <c r="T70" s="547" t="str">
        <f>M70</f>
        <v>-</v>
      </c>
      <c r="U70" s="1022"/>
      <c r="W70" s="544" t="s">
        <v>19</v>
      </c>
      <c r="X70" s="545">
        <v>2.4</v>
      </c>
    </row>
    <row r="71" spans="1:24" ht="13" thickBot="1" x14ac:dyDescent="0.3">
      <c r="A71" s="1034"/>
      <c r="B71" s="457">
        <v>1</v>
      </c>
      <c r="C71" s="549">
        <v>15</v>
      </c>
      <c r="D71" s="549">
        <v>0.1</v>
      </c>
      <c r="E71" s="549">
        <v>0.3</v>
      </c>
      <c r="F71" s="550" t="s">
        <v>180</v>
      </c>
      <c r="G71" s="551">
        <f>0.5*(MAX(D71:F71)-MIN(D71:F71))</f>
        <v>9.9999999999999992E-2</v>
      </c>
      <c r="I71" s="457">
        <v>1</v>
      </c>
      <c r="J71" s="549">
        <v>30</v>
      </c>
      <c r="K71" s="549">
        <v>-1.9</v>
      </c>
      <c r="L71" s="549">
        <v>1.8</v>
      </c>
      <c r="M71" s="550" t="s">
        <v>180</v>
      </c>
      <c r="N71" s="551">
        <f>0.5*(MAX(K71:M71)-MIN(K71:M71))</f>
        <v>1.85</v>
      </c>
      <c r="P71" s="457">
        <v>1</v>
      </c>
      <c r="Q71" s="549">
        <v>750</v>
      </c>
      <c r="R71" s="549">
        <v>9.9999999999999995E-7</v>
      </c>
      <c r="S71" s="549">
        <v>3.2</v>
      </c>
      <c r="T71" s="550" t="s">
        <v>180</v>
      </c>
      <c r="U71" s="551">
        <f>0.5*(MAX(R71:T71)-MIN(R71:T71))</f>
        <v>1.5999995</v>
      </c>
      <c r="W71" s="552" t="s">
        <v>179</v>
      </c>
      <c r="X71" s="553">
        <v>2.4</v>
      </c>
    </row>
    <row r="72" spans="1:24" x14ac:dyDescent="0.25">
      <c r="A72" s="1034"/>
      <c r="B72" s="457">
        <v>2</v>
      </c>
      <c r="C72" s="549">
        <v>20</v>
      </c>
      <c r="D72" s="549">
        <v>9.9999999999999995E-7</v>
      </c>
      <c r="E72" s="549">
        <v>0.1</v>
      </c>
      <c r="F72" s="550" t="s">
        <v>180</v>
      </c>
      <c r="G72" s="551">
        <f t="shared" ref="G72:G77" si="18">0.5*(MAX(D72:F72)-MIN(D72:F72))</f>
        <v>4.9999500000000002E-2</v>
      </c>
      <c r="I72" s="457">
        <v>2</v>
      </c>
      <c r="J72" s="549">
        <v>40</v>
      </c>
      <c r="K72" s="549">
        <v>-1.9</v>
      </c>
      <c r="L72" s="549">
        <v>1.2</v>
      </c>
      <c r="M72" s="550" t="s">
        <v>180</v>
      </c>
      <c r="N72" s="551">
        <f t="shared" ref="N72:N77" si="19">0.5*(MAX(K72:M72)-MIN(K72:M72))</f>
        <v>1.5499999999999998</v>
      </c>
      <c r="P72" s="457">
        <v>2</v>
      </c>
      <c r="Q72" s="549">
        <v>800</v>
      </c>
      <c r="R72" s="549">
        <v>9.9999999999999995E-7</v>
      </c>
      <c r="S72" s="549">
        <v>2.5</v>
      </c>
      <c r="T72" s="550" t="s">
        <v>180</v>
      </c>
      <c r="U72" s="551">
        <f t="shared" ref="U72:U77" si="20">0.5*(MAX(R72:T72)-MIN(R72:T72))</f>
        <v>1.2499994999999999</v>
      </c>
    </row>
    <row r="73" spans="1:24" x14ac:dyDescent="0.25">
      <c r="A73" s="1034"/>
      <c r="B73" s="457">
        <v>3</v>
      </c>
      <c r="C73" s="549">
        <v>25</v>
      </c>
      <c r="D73" s="549">
        <v>9.9999999999999995E-7</v>
      </c>
      <c r="E73" s="549">
        <v>-0.2</v>
      </c>
      <c r="F73" s="550" t="s">
        <v>180</v>
      </c>
      <c r="G73" s="551">
        <f t="shared" si="18"/>
        <v>0.10000050000000001</v>
      </c>
      <c r="I73" s="457">
        <v>3</v>
      </c>
      <c r="J73" s="549">
        <v>50</v>
      </c>
      <c r="K73" s="549">
        <v>-1.9</v>
      </c>
      <c r="L73" s="549">
        <v>0.8</v>
      </c>
      <c r="M73" s="550" t="s">
        <v>180</v>
      </c>
      <c r="N73" s="551">
        <f t="shared" si="19"/>
        <v>1.35</v>
      </c>
      <c r="P73" s="457">
        <v>3</v>
      </c>
      <c r="Q73" s="549">
        <v>850</v>
      </c>
      <c r="R73" s="549">
        <v>9.9999999999999995E-7</v>
      </c>
      <c r="S73" s="549">
        <v>1.7</v>
      </c>
      <c r="T73" s="550" t="s">
        <v>180</v>
      </c>
      <c r="U73" s="551">
        <f t="shared" si="20"/>
        <v>0.84999950000000002</v>
      </c>
    </row>
    <row r="74" spans="1:24" x14ac:dyDescent="0.25">
      <c r="A74" s="1034"/>
      <c r="B74" s="457">
        <v>4</v>
      </c>
      <c r="C74" s="554">
        <v>30</v>
      </c>
      <c r="D74" s="549">
        <v>9.9999999999999995E-7</v>
      </c>
      <c r="E74" s="554">
        <v>-0.6</v>
      </c>
      <c r="F74" s="550" t="s">
        <v>180</v>
      </c>
      <c r="G74" s="551">
        <f t="shared" si="18"/>
        <v>0.3000005</v>
      </c>
      <c r="I74" s="457">
        <v>4</v>
      </c>
      <c r="J74" s="554">
        <v>60</v>
      </c>
      <c r="K74" s="554">
        <v>-2.1</v>
      </c>
      <c r="L74" s="554">
        <v>0.7</v>
      </c>
      <c r="M74" s="550" t="s">
        <v>180</v>
      </c>
      <c r="N74" s="551">
        <f t="shared" si="19"/>
        <v>1.4</v>
      </c>
      <c r="P74" s="457">
        <v>4</v>
      </c>
      <c r="Q74" s="554">
        <v>900</v>
      </c>
      <c r="R74" s="549">
        <v>9.9999999999999995E-7</v>
      </c>
      <c r="S74" s="554">
        <v>1</v>
      </c>
      <c r="T74" s="550" t="s">
        <v>180</v>
      </c>
      <c r="U74" s="551">
        <f t="shared" si="20"/>
        <v>0.49999949999999999</v>
      </c>
    </row>
    <row r="75" spans="1:24" x14ac:dyDescent="0.25">
      <c r="A75" s="1034"/>
      <c r="B75" s="457">
        <v>5</v>
      </c>
      <c r="C75" s="554">
        <v>35</v>
      </c>
      <c r="D75" s="549">
        <v>9.9999999999999995E-7</v>
      </c>
      <c r="E75" s="554">
        <v>-1.1000000000000001</v>
      </c>
      <c r="F75" s="550" t="s">
        <v>180</v>
      </c>
      <c r="G75" s="551">
        <f t="shared" si="18"/>
        <v>0.5500005</v>
      </c>
      <c r="I75" s="457">
        <v>5</v>
      </c>
      <c r="J75" s="554">
        <v>70</v>
      </c>
      <c r="K75" s="554">
        <v>-2.2999999999999998</v>
      </c>
      <c r="L75" s="554">
        <v>0.9</v>
      </c>
      <c r="M75" s="550" t="s">
        <v>180</v>
      </c>
      <c r="N75" s="551">
        <f t="shared" si="19"/>
        <v>1.5999999999999999</v>
      </c>
      <c r="P75" s="457">
        <v>5</v>
      </c>
      <c r="Q75" s="554">
        <v>1000</v>
      </c>
      <c r="R75" s="554">
        <v>-3.9</v>
      </c>
      <c r="S75" s="554">
        <v>-0.4</v>
      </c>
      <c r="T75" s="550" t="s">
        <v>180</v>
      </c>
      <c r="U75" s="551">
        <f t="shared" si="20"/>
        <v>1.75</v>
      </c>
    </row>
    <row r="76" spans="1:24" x14ac:dyDescent="0.25">
      <c r="A76" s="1034"/>
      <c r="B76" s="457">
        <v>6</v>
      </c>
      <c r="C76" s="554">
        <v>37</v>
      </c>
      <c r="D76" s="549">
        <v>9.9999999999999995E-7</v>
      </c>
      <c r="E76" s="554">
        <v>-1.4</v>
      </c>
      <c r="F76" s="550" t="s">
        <v>180</v>
      </c>
      <c r="G76" s="551">
        <f t="shared" si="18"/>
        <v>0.70000049999999991</v>
      </c>
      <c r="I76" s="457">
        <v>6</v>
      </c>
      <c r="J76" s="554">
        <v>80</v>
      </c>
      <c r="K76" s="554">
        <v>-2.6</v>
      </c>
      <c r="L76" s="554">
        <v>1.2</v>
      </c>
      <c r="M76" s="550" t="s">
        <v>180</v>
      </c>
      <c r="N76" s="551">
        <f t="shared" si="19"/>
        <v>1.9</v>
      </c>
      <c r="P76" s="457">
        <v>6</v>
      </c>
      <c r="Q76" s="554">
        <v>1005</v>
      </c>
      <c r="R76" s="554">
        <v>-3.8</v>
      </c>
      <c r="S76" s="554">
        <v>-0.5</v>
      </c>
      <c r="T76" s="550" t="s">
        <v>180</v>
      </c>
      <c r="U76" s="551">
        <f t="shared" si="20"/>
        <v>1.65</v>
      </c>
    </row>
    <row r="77" spans="1:24" ht="13" thickBot="1" x14ac:dyDescent="0.3">
      <c r="A77" s="1034"/>
      <c r="B77" s="457">
        <v>7</v>
      </c>
      <c r="C77" s="554">
        <v>40</v>
      </c>
      <c r="D77" s="554">
        <v>0.1</v>
      </c>
      <c r="E77" s="554">
        <v>-1.7</v>
      </c>
      <c r="F77" s="550" t="s">
        <v>180</v>
      </c>
      <c r="G77" s="551">
        <f t="shared" si="18"/>
        <v>0.9</v>
      </c>
      <c r="I77" s="457">
        <v>7</v>
      </c>
      <c r="J77" s="554">
        <v>90</v>
      </c>
      <c r="K77" s="554">
        <v>-3</v>
      </c>
      <c r="L77" s="554">
        <v>1.8</v>
      </c>
      <c r="M77" s="550" t="s">
        <v>180</v>
      </c>
      <c r="N77" s="551">
        <f t="shared" si="19"/>
        <v>2.4</v>
      </c>
      <c r="P77" s="457">
        <v>7</v>
      </c>
      <c r="Q77" s="554">
        <v>1020</v>
      </c>
      <c r="R77" s="554">
        <v>-3.8</v>
      </c>
      <c r="S77" s="554">
        <v>9.9999999999999995E-7</v>
      </c>
      <c r="T77" s="550" t="s">
        <v>180</v>
      </c>
      <c r="U77" s="551">
        <f t="shared" si="20"/>
        <v>1.9000005</v>
      </c>
    </row>
    <row r="78" spans="1:24" ht="13.5" thickBot="1" x14ac:dyDescent="0.35">
      <c r="A78" s="559"/>
      <c r="B78" s="101"/>
      <c r="C78" s="101"/>
      <c r="D78" s="101"/>
      <c r="E78" s="560"/>
      <c r="F78" s="101"/>
      <c r="G78" s="65"/>
      <c r="H78" s="101"/>
      <c r="I78" s="101"/>
      <c r="J78" s="101"/>
      <c r="K78" s="560"/>
      <c r="L78" s="101"/>
      <c r="O78" s="557"/>
      <c r="P78" s="490"/>
    </row>
    <row r="79" spans="1:24" x14ac:dyDescent="0.25">
      <c r="A79" s="1034">
        <v>8</v>
      </c>
      <c r="B79" s="1025" t="s">
        <v>187</v>
      </c>
      <c r="C79" s="1025"/>
      <c r="D79" s="1025"/>
      <c r="E79" s="1025"/>
      <c r="F79" s="1025"/>
      <c r="G79" s="1025"/>
      <c r="I79" s="1025" t="str">
        <f>B79</f>
        <v>KOREKSI GREISINGER 34903051</v>
      </c>
      <c r="J79" s="1025"/>
      <c r="K79" s="1025"/>
      <c r="L79" s="1025"/>
      <c r="M79" s="1025"/>
      <c r="N79" s="1025"/>
      <c r="P79" s="1025" t="str">
        <f>I79</f>
        <v>KOREKSI GREISINGER 34903051</v>
      </c>
      <c r="Q79" s="1025"/>
      <c r="R79" s="1025"/>
      <c r="S79" s="1025"/>
      <c r="T79" s="1025"/>
      <c r="U79" s="1025"/>
      <c r="W79" s="1020" t="s">
        <v>173</v>
      </c>
      <c r="X79" s="1021"/>
    </row>
    <row r="80" spans="1:24" ht="13" x14ac:dyDescent="0.25">
      <c r="A80" s="1034"/>
      <c r="B80" s="1022" t="s">
        <v>174</v>
      </c>
      <c r="C80" s="1022"/>
      <c r="D80" s="1022" t="s">
        <v>175</v>
      </c>
      <c r="E80" s="1022"/>
      <c r="F80" s="1022"/>
      <c r="G80" s="1022" t="s">
        <v>176</v>
      </c>
      <c r="I80" s="1022" t="s">
        <v>177</v>
      </c>
      <c r="J80" s="1022"/>
      <c r="K80" s="1022" t="s">
        <v>175</v>
      </c>
      <c r="L80" s="1022"/>
      <c r="M80" s="1022"/>
      <c r="N80" s="1022" t="s">
        <v>176</v>
      </c>
      <c r="P80" s="1022" t="s">
        <v>178</v>
      </c>
      <c r="Q80" s="1022"/>
      <c r="R80" s="1022" t="s">
        <v>175</v>
      </c>
      <c r="S80" s="1022"/>
      <c r="T80" s="1022"/>
      <c r="U80" s="1022" t="s">
        <v>176</v>
      </c>
      <c r="W80" s="544" t="s">
        <v>174</v>
      </c>
      <c r="X80" s="545">
        <v>0.3</v>
      </c>
    </row>
    <row r="81" spans="1:24" ht="14.5" x14ac:dyDescent="0.25">
      <c r="A81" s="1034"/>
      <c r="B81" s="1024" t="s">
        <v>388</v>
      </c>
      <c r="C81" s="1024"/>
      <c r="D81" s="547">
        <v>2021</v>
      </c>
      <c r="E81" s="547">
        <v>2019</v>
      </c>
      <c r="F81" s="548" t="s">
        <v>180</v>
      </c>
      <c r="G81" s="1022"/>
      <c r="I81" s="1023" t="s">
        <v>19</v>
      </c>
      <c r="J81" s="1024"/>
      <c r="K81" s="547">
        <f>D81</f>
        <v>2021</v>
      </c>
      <c r="L81" s="547">
        <f>E81</f>
        <v>2019</v>
      </c>
      <c r="M81" s="547" t="str">
        <f>F81</f>
        <v>-</v>
      </c>
      <c r="N81" s="1022"/>
      <c r="P81" s="1023" t="s">
        <v>179</v>
      </c>
      <c r="Q81" s="1024"/>
      <c r="R81" s="547">
        <f>K81</f>
        <v>2021</v>
      </c>
      <c r="S81" s="547">
        <f>L81</f>
        <v>2019</v>
      </c>
      <c r="T81" s="547" t="str">
        <f>M81</f>
        <v>-</v>
      </c>
      <c r="U81" s="1022"/>
      <c r="W81" s="544" t="s">
        <v>19</v>
      </c>
      <c r="X81" s="545">
        <v>2.5</v>
      </c>
    </row>
    <row r="82" spans="1:24" ht="13" thickBot="1" x14ac:dyDescent="0.3">
      <c r="A82" s="1034"/>
      <c r="B82" s="457">
        <v>1</v>
      </c>
      <c r="C82" s="549">
        <v>15</v>
      </c>
      <c r="D82" s="549">
        <v>0.1</v>
      </c>
      <c r="E82" s="549">
        <v>9.9999999999999995E-7</v>
      </c>
      <c r="F82" s="550" t="s">
        <v>180</v>
      </c>
      <c r="G82" s="551">
        <f>0.5*(MAX(D82:F82)-MIN(D82:F82))</f>
        <v>4.9999500000000002E-2</v>
      </c>
      <c r="I82" s="457">
        <v>1</v>
      </c>
      <c r="J82" s="549">
        <v>30</v>
      </c>
      <c r="K82" s="549">
        <v>-4</v>
      </c>
      <c r="L82" s="549">
        <v>-1.4</v>
      </c>
      <c r="M82" s="550" t="s">
        <v>180</v>
      </c>
      <c r="N82" s="551">
        <f>0.5*(MAX(K82:M82)-MIN(K82:M82))</f>
        <v>1.3</v>
      </c>
      <c r="P82" s="457">
        <v>1</v>
      </c>
      <c r="Q82" s="549">
        <v>750</v>
      </c>
      <c r="R82" s="550">
        <v>9.9999999999999995E-7</v>
      </c>
      <c r="S82" s="550">
        <v>9.9999999999999995E-7</v>
      </c>
      <c r="T82" s="550" t="s">
        <v>180</v>
      </c>
      <c r="U82" s="551">
        <f>0.5*(MAX(R82:T82)-MIN(R82:T82))</f>
        <v>0</v>
      </c>
      <c r="W82" s="552" t="s">
        <v>179</v>
      </c>
      <c r="X82" s="553">
        <v>2.1</v>
      </c>
    </row>
    <row r="83" spans="1:24" x14ac:dyDescent="0.25">
      <c r="A83" s="1034"/>
      <c r="B83" s="457">
        <v>2</v>
      </c>
      <c r="C83" s="549">
        <v>20</v>
      </c>
      <c r="D83" s="549">
        <v>9.9999999999999995E-7</v>
      </c>
      <c r="E83" s="549">
        <v>-0.2</v>
      </c>
      <c r="F83" s="550" t="s">
        <v>180</v>
      </c>
      <c r="G83" s="551">
        <f t="shared" ref="G83:G88" si="21">0.5*(MAX(D83:F83)-MIN(D83:F83))</f>
        <v>0.10000050000000001</v>
      </c>
      <c r="I83" s="457">
        <v>2</v>
      </c>
      <c r="J83" s="549">
        <v>40</v>
      </c>
      <c r="K83" s="549">
        <v>-3.8</v>
      </c>
      <c r="L83" s="549">
        <v>-1.2</v>
      </c>
      <c r="M83" s="550" t="s">
        <v>180</v>
      </c>
      <c r="N83" s="551">
        <f t="shared" ref="N83:N88" si="22">0.5*(MAX(K83:M83)-MIN(K83:M83))</f>
        <v>1.2999999999999998</v>
      </c>
      <c r="P83" s="457">
        <v>2</v>
      </c>
      <c r="Q83" s="549">
        <v>800</v>
      </c>
      <c r="R83" s="550">
        <v>9.9999999999999995E-7</v>
      </c>
      <c r="S83" s="550">
        <v>9.9999999999999995E-7</v>
      </c>
      <c r="T83" s="550" t="s">
        <v>180</v>
      </c>
      <c r="U83" s="551">
        <f t="shared" ref="U83:U88" si="23">0.5*(MAX(R83:T83)-MIN(R83:T83))</f>
        <v>0</v>
      </c>
    </row>
    <row r="84" spans="1:24" x14ac:dyDescent="0.25">
      <c r="A84" s="1034"/>
      <c r="B84" s="457">
        <v>3</v>
      </c>
      <c r="C84" s="549">
        <v>25</v>
      </c>
      <c r="D84" s="549">
        <v>-0.1</v>
      </c>
      <c r="E84" s="549">
        <v>-0.4</v>
      </c>
      <c r="F84" s="550" t="s">
        <v>180</v>
      </c>
      <c r="G84" s="551">
        <f t="shared" si="21"/>
        <v>0.15000000000000002</v>
      </c>
      <c r="I84" s="457">
        <v>3</v>
      </c>
      <c r="J84" s="549">
        <v>50</v>
      </c>
      <c r="K84" s="549">
        <v>-3.8</v>
      </c>
      <c r="L84" s="549">
        <v>-1.2</v>
      </c>
      <c r="M84" s="550" t="s">
        <v>180</v>
      </c>
      <c r="N84" s="551">
        <f t="shared" si="22"/>
        <v>1.2999999999999998</v>
      </c>
      <c r="P84" s="457">
        <v>3</v>
      </c>
      <c r="Q84" s="549">
        <v>850</v>
      </c>
      <c r="R84" s="550">
        <v>9.9999999999999995E-7</v>
      </c>
      <c r="S84" s="550">
        <v>9.9999999999999995E-7</v>
      </c>
      <c r="T84" s="550" t="s">
        <v>180</v>
      </c>
      <c r="U84" s="551">
        <f t="shared" si="23"/>
        <v>0</v>
      </c>
    </row>
    <row r="85" spans="1:24" x14ac:dyDescent="0.25">
      <c r="A85" s="1034"/>
      <c r="B85" s="457">
        <v>4</v>
      </c>
      <c r="C85" s="554">
        <v>30</v>
      </c>
      <c r="D85" s="549">
        <v>-0.2</v>
      </c>
      <c r="E85" s="549">
        <v>-0.4</v>
      </c>
      <c r="F85" s="550" t="s">
        <v>180</v>
      </c>
      <c r="G85" s="551">
        <f t="shared" si="21"/>
        <v>0.1</v>
      </c>
      <c r="I85" s="457">
        <v>4</v>
      </c>
      <c r="J85" s="554">
        <v>60</v>
      </c>
      <c r="K85" s="554">
        <v>-3.9</v>
      </c>
      <c r="L85" s="554">
        <v>-1.1000000000000001</v>
      </c>
      <c r="M85" s="550" t="s">
        <v>180</v>
      </c>
      <c r="N85" s="551">
        <f t="shared" si="22"/>
        <v>1.4</v>
      </c>
      <c r="P85" s="457">
        <v>4</v>
      </c>
      <c r="Q85" s="554">
        <v>900</v>
      </c>
      <c r="R85" s="555">
        <v>-4.4000000000000004</v>
      </c>
      <c r="S85" s="550">
        <v>9.9999999999999995E-7</v>
      </c>
      <c r="T85" s="550" t="s">
        <v>180</v>
      </c>
      <c r="U85" s="551">
        <f t="shared" si="23"/>
        <v>2.2000005000000002</v>
      </c>
    </row>
    <row r="86" spans="1:24" x14ac:dyDescent="0.25">
      <c r="A86" s="1034"/>
      <c r="B86" s="457">
        <v>5</v>
      </c>
      <c r="C86" s="554">
        <v>35</v>
      </c>
      <c r="D86" s="554">
        <v>-0.1</v>
      </c>
      <c r="E86" s="554">
        <v>-0.5</v>
      </c>
      <c r="F86" s="550" t="s">
        <v>180</v>
      </c>
      <c r="G86" s="551">
        <f t="shared" si="21"/>
        <v>0.2</v>
      </c>
      <c r="I86" s="457">
        <v>5</v>
      </c>
      <c r="J86" s="554">
        <v>70</v>
      </c>
      <c r="K86" s="554">
        <v>-4.0999999999999996</v>
      </c>
      <c r="L86" s="554">
        <v>-1.2</v>
      </c>
      <c r="M86" s="550" t="s">
        <v>180</v>
      </c>
      <c r="N86" s="551">
        <f t="shared" si="22"/>
        <v>1.4499999999999997</v>
      </c>
      <c r="P86" s="457">
        <v>5</v>
      </c>
      <c r="Q86" s="554">
        <v>1000</v>
      </c>
      <c r="R86" s="555">
        <v>-3.5</v>
      </c>
      <c r="S86" s="555">
        <v>0.2</v>
      </c>
      <c r="T86" s="550" t="s">
        <v>180</v>
      </c>
      <c r="U86" s="551">
        <f t="shared" si="23"/>
        <v>1.85</v>
      </c>
    </row>
    <row r="87" spans="1:24" x14ac:dyDescent="0.25">
      <c r="A87" s="1034"/>
      <c r="B87" s="457">
        <v>6</v>
      </c>
      <c r="C87" s="554">
        <v>37</v>
      </c>
      <c r="D87" s="554">
        <v>-0.1</v>
      </c>
      <c r="E87" s="554">
        <v>-0.5</v>
      </c>
      <c r="F87" s="550" t="s">
        <v>180</v>
      </c>
      <c r="G87" s="551">
        <f t="shared" si="21"/>
        <v>0.2</v>
      </c>
      <c r="I87" s="457">
        <v>6</v>
      </c>
      <c r="J87" s="554">
        <v>80</v>
      </c>
      <c r="K87" s="554">
        <v>-4.5</v>
      </c>
      <c r="L87" s="554">
        <v>-1.2</v>
      </c>
      <c r="M87" s="550" t="s">
        <v>180</v>
      </c>
      <c r="N87" s="551">
        <f t="shared" si="22"/>
        <v>1.65</v>
      </c>
      <c r="P87" s="457">
        <v>6</v>
      </c>
      <c r="Q87" s="554">
        <v>1005</v>
      </c>
      <c r="R87" s="555">
        <v>-3.4</v>
      </c>
      <c r="S87" s="555">
        <v>0.2</v>
      </c>
      <c r="T87" s="550" t="s">
        <v>180</v>
      </c>
      <c r="U87" s="551">
        <f t="shared" si="23"/>
        <v>1.8</v>
      </c>
    </row>
    <row r="88" spans="1:24" x14ac:dyDescent="0.25">
      <c r="A88" s="1034"/>
      <c r="B88" s="457">
        <v>7</v>
      </c>
      <c r="C88" s="554">
        <v>40</v>
      </c>
      <c r="D88" s="554">
        <v>9.9999999999999995E-7</v>
      </c>
      <c r="E88" s="554">
        <v>-0.4</v>
      </c>
      <c r="F88" s="550" t="s">
        <v>180</v>
      </c>
      <c r="G88" s="551">
        <f t="shared" si="21"/>
        <v>0.2000005</v>
      </c>
      <c r="I88" s="457">
        <v>7</v>
      </c>
      <c r="J88" s="554">
        <v>90</v>
      </c>
      <c r="K88" s="554">
        <v>-4.9000000000000004</v>
      </c>
      <c r="L88" s="554">
        <v>-1.3</v>
      </c>
      <c r="M88" s="550" t="s">
        <v>180</v>
      </c>
      <c r="N88" s="551">
        <f t="shared" si="22"/>
        <v>1.8000000000000003</v>
      </c>
      <c r="P88" s="457">
        <v>7</v>
      </c>
      <c r="Q88" s="554">
        <v>1020</v>
      </c>
      <c r="R88" s="555">
        <v>-3.4</v>
      </c>
      <c r="S88" s="555">
        <v>9.9999999999999995E-7</v>
      </c>
      <c r="T88" s="550" t="s">
        <v>180</v>
      </c>
      <c r="U88" s="551">
        <f t="shared" si="23"/>
        <v>1.7000005</v>
      </c>
    </row>
    <row r="89" spans="1:24" ht="13.5" thickBot="1" x14ac:dyDescent="0.35">
      <c r="A89" s="559"/>
      <c r="B89" s="101"/>
      <c r="C89" s="101"/>
      <c r="D89" s="101"/>
      <c r="E89" s="560"/>
      <c r="G89" s="101"/>
      <c r="I89" s="101"/>
      <c r="J89" s="101"/>
      <c r="K89" s="101"/>
      <c r="L89" s="560"/>
      <c r="N89" s="101"/>
      <c r="R89" s="490"/>
    </row>
    <row r="90" spans="1:24" x14ac:dyDescent="0.25">
      <c r="A90" s="1034">
        <v>9</v>
      </c>
      <c r="B90" s="1025" t="s">
        <v>188</v>
      </c>
      <c r="C90" s="1025"/>
      <c r="D90" s="1025"/>
      <c r="E90" s="1025"/>
      <c r="F90" s="1025"/>
      <c r="G90" s="1025"/>
      <c r="I90" s="1025" t="str">
        <f>B90</f>
        <v>KOREKSI GREISINGER 34904091</v>
      </c>
      <c r="J90" s="1025"/>
      <c r="K90" s="1025"/>
      <c r="L90" s="1025"/>
      <c r="M90" s="1025"/>
      <c r="N90" s="1025"/>
      <c r="P90" s="1025" t="str">
        <f>I90</f>
        <v>KOREKSI GREISINGER 34904091</v>
      </c>
      <c r="Q90" s="1025"/>
      <c r="R90" s="1025"/>
      <c r="S90" s="1025"/>
      <c r="T90" s="1025"/>
      <c r="U90" s="1025"/>
      <c r="W90" s="1020" t="s">
        <v>173</v>
      </c>
      <c r="X90" s="1021"/>
    </row>
    <row r="91" spans="1:24" ht="13" x14ac:dyDescent="0.25">
      <c r="A91" s="1034"/>
      <c r="B91" s="1022" t="s">
        <v>174</v>
      </c>
      <c r="C91" s="1022"/>
      <c r="D91" s="1022" t="s">
        <v>175</v>
      </c>
      <c r="E91" s="1022"/>
      <c r="F91" s="1022"/>
      <c r="G91" s="1022" t="s">
        <v>176</v>
      </c>
      <c r="I91" s="1022" t="s">
        <v>177</v>
      </c>
      <c r="J91" s="1022"/>
      <c r="K91" s="1022" t="s">
        <v>175</v>
      </c>
      <c r="L91" s="1022"/>
      <c r="M91" s="1022"/>
      <c r="N91" s="1022" t="s">
        <v>176</v>
      </c>
      <c r="P91" s="1022" t="s">
        <v>178</v>
      </c>
      <c r="Q91" s="1022"/>
      <c r="R91" s="1022" t="s">
        <v>175</v>
      </c>
      <c r="S91" s="1022"/>
      <c r="T91" s="1022"/>
      <c r="U91" s="1022" t="s">
        <v>176</v>
      </c>
      <c r="W91" s="544" t="s">
        <v>174</v>
      </c>
      <c r="X91" s="545">
        <v>0.3</v>
      </c>
    </row>
    <row r="92" spans="1:24" ht="14.5" x14ac:dyDescent="0.25">
      <c r="A92" s="1034"/>
      <c r="B92" s="1024" t="s">
        <v>388</v>
      </c>
      <c r="C92" s="1024"/>
      <c r="D92" s="547">
        <v>2019</v>
      </c>
      <c r="E92" s="548" t="s">
        <v>180</v>
      </c>
      <c r="F92" s="548" t="s">
        <v>180</v>
      </c>
      <c r="G92" s="1022"/>
      <c r="I92" s="1023" t="s">
        <v>19</v>
      </c>
      <c r="J92" s="1024"/>
      <c r="K92" s="547">
        <f>D92</f>
        <v>2019</v>
      </c>
      <c r="L92" s="547" t="str">
        <f>E92</f>
        <v>-</v>
      </c>
      <c r="M92" s="547" t="str">
        <f>F92</f>
        <v>-</v>
      </c>
      <c r="N92" s="1022"/>
      <c r="P92" s="1023" t="s">
        <v>179</v>
      </c>
      <c r="Q92" s="1024"/>
      <c r="R92" s="547">
        <f>K92</f>
        <v>2019</v>
      </c>
      <c r="S92" s="547" t="str">
        <f>L92</f>
        <v>-</v>
      </c>
      <c r="T92" s="547" t="str">
        <f>M92</f>
        <v>-</v>
      </c>
      <c r="U92" s="1022"/>
      <c r="W92" s="544" t="s">
        <v>19</v>
      </c>
      <c r="X92" s="545">
        <v>2.4</v>
      </c>
    </row>
    <row r="93" spans="1:24" ht="13" thickBot="1" x14ac:dyDescent="0.3">
      <c r="A93" s="1034"/>
      <c r="B93" s="457">
        <v>1</v>
      </c>
      <c r="C93" s="549">
        <v>15</v>
      </c>
      <c r="D93" s="549">
        <v>9.9999999999999995E-7</v>
      </c>
      <c r="E93" s="549" t="s">
        <v>180</v>
      </c>
      <c r="F93" s="550" t="s">
        <v>180</v>
      </c>
      <c r="G93" s="551">
        <f>0.5*(MAX(D93:F93)-MIN(D93:F93))</f>
        <v>0</v>
      </c>
      <c r="I93" s="457">
        <v>1</v>
      </c>
      <c r="J93" s="549">
        <v>30</v>
      </c>
      <c r="K93" s="549">
        <v>-1.2</v>
      </c>
      <c r="L93" s="549" t="s">
        <v>180</v>
      </c>
      <c r="M93" s="550" t="s">
        <v>180</v>
      </c>
      <c r="N93" s="551">
        <f>0.5*(MAX(K93:M93)-MIN(K93:M93))</f>
        <v>0</v>
      </c>
      <c r="P93" s="457">
        <v>1</v>
      </c>
      <c r="Q93" s="549">
        <v>750</v>
      </c>
      <c r="R93" s="550">
        <v>9.9999999999999995E-7</v>
      </c>
      <c r="S93" s="550" t="s">
        <v>180</v>
      </c>
      <c r="T93" s="550" t="s">
        <v>180</v>
      </c>
      <c r="U93" s="551">
        <f>0.5*(MAX(R93:T93)-MIN(R93:T93))</f>
        <v>0</v>
      </c>
      <c r="W93" s="552" t="s">
        <v>179</v>
      </c>
      <c r="X93" s="553">
        <v>2.2000000000000002</v>
      </c>
    </row>
    <row r="94" spans="1:24" x14ac:dyDescent="0.25">
      <c r="A94" s="1034"/>
      <c r="B94" s="457">
        <v>2</v>
      </c>
      <c r="C94" s="549">
        <v>20</v>
      </c>
      <c r="D94" s="549">
        <v>-0.2</v>
      </c>
      <c r="E94" s="549" t="s">
        <v>180</v>
      </c>
      <c r="F94" s="550" t="s">
        <v>180</v>
      </c>
      <c r="G94" s="551">
        <f t="shared" ref="G94:G99" si="24">0.5*(MAX(D94:F94)-MIN(D94:F94))</f>
        <v>0</v>
      </c>
      <c r="I94" s="457">
        <v>2</v>
      </c>
      <c r="J94" s="549">
        <v>40</v>
      </c>
      <c r="K94" s="549">
        <v>-1</v>
      </c>
      <c r="L94" s="549" t="s">
        <v>180</v>
      </c>
      <c r="M94" s="550" t="s">
        <v>180</v>
      </c>
      <c r="N94" s="551">
        <f t="shared" ref="N94:N99" si="25">0.5*(MAX(K94:M94)-MIN(K94:M94))</f>
        <v>0</v>
      </c>
      <c r="P94" s="457">
        <v>2</v>
      </c>
      <c r="Q94" s="549">
        <v>800</v>
      </c>
      <c r="R94" s="550">
        <v>9.9999999999999995E-7</v>
      </c>
      <c r="S94" s="550" t="s">
        <v>180</v>
      </c>
      <c r="T94" s="550" t="s">
        <v>180</v>
      </c>
      <c r="U94" s="551">
        <f t="shared" ref="U94:U99" si="26">0.5*(MAX(R94:T94)-MIN(R94:T94))</f>
        <v>0</v>
      </c>
    </row>
    <row r="95" spans="1:24" x14ac:dyDescent="0.25">
      <c r="A95" s="1034"/>
      <c r="B95" s="457">
        <v>3</v>
      </c>
      <c r="C95" s="549">
        <v>25</v>
      </c>
      <c r="D95" s="549">
        <v>-0.4</v>
      </c>
      <c r="E95" s="549" t="s">
        <v>180</v>
      </c>
      <c r="F95" s="550" t="s">
        <v>180</v>
      </c>
      <c r="G95" s="551">
        <f t="shared" si="24"/>
        <v>0</v>
      </c>
      <c r="I95" s="457">
        <v>3</v>
      </c>
      <c r="J95" s="549">
        <v>50</v>
      </c>
      <c r="K95" s="549">
        <v>-0.9</v>
      </c>
      <c r="L95" s="549" t="s">
        <v>180</v>
      </c>
      <c r="M95" s="550" t="s">
        <v>180</v>
      </c>
      <c r="N95" s="551">
        <f t="shared" si="25"/>
        <v>0</v>
      </c>
      <c r="P95" s="457">
        <v>3</v>
      </c>
      <c r="Q95" s="549">
        <v>850</v>
      </c>
      <c r="R95" s="550">
        <v>9.9999999999999995E-7</v>
      </c>
      <c r="S95" s="550" t="s">
        <v>180</v>
      </c>
      <c r="T95" s="550" t="s">
        <v>180</v>
      </c>
      <c r="U95" s="551">
        <f t="shared" si="26"/>
        <v>0</v>
      </c>
    </row>
    <row r="96" spans="1:24" x14ac:dyDescent="0.25">
      <c r="A96" s="1034"/>
      <c r="B96" s="457">
        <v>4</v>
      </c>
      <c r="C96" s="554">
        <v>30</v>
      </c>
      <c r="D96" s="549">
        <v>-0.5</v>
      </c>
      <c r="E96" s="555" t="s">
        <v>180</v>
      </c>
      <c r="F96" s="550" t="s">
        <v>180</v>
      </c>
      <c r="G96" s="551">
        <f t="shared" si="24"/>
        <v>0</v>
      </c>
      <c r="I96" s="457">
        <v>4</v>
      </c>
      <c r="J96" s="554">
        <v>60</v>
      </c>
      <c r="K96" s="549">
        <v>-0.8</v>
      </c>
      <c r="L96" s="555" t="s">
        <v>180</v>
      </c>
      <c r="M96" s="550" t="s">
        <v>180</v>
      </c>
      <c r="N96" s="551">
        <f t="shared" si="25"/>
        <v>0</v>
      </c>
      <c r="P96" s="457">
        <v>4</v>
      </c>
      <c r="Q96" s="554">
        <v>900</v>
      </c>
      <c r="R96" s="550">
        <v>9.9999999999999995E-7</v>
      </c>
      <c r="S96" s="555" t="s">
        <v>180</v>
      </c>
      <c r="T96" s="550" t="s">
        <v>180</v>
      </c>
      <c r="U96" s="551">
        <f t="shared" si="26"/>
        <v>0</v>
      </c>
    </row>
    <row r="97" spans="1:28" x14ac:dyDescent="0.25">
      <c r="A97" s="1034"/>
      <c r="B97" s="457">
        <v>5</v>
      </c>
      <c r="C97" s="554">
        <v>35</v>
      </c>
      <c r="D97" s="549">
        <v>-0.5</v>
      </c>
      <c r="E97" s="555" t="s">
        <v>180</v>
      </c>
      <c r="F97" s="550" t="s">
        <v>180</v>
      </c>
      <c r="G97" s="551">
        <f t="shared" si="24"/>
        <v>0</v>
      </c>
      <c r="I97" s="457">
        <v>5</v>
      </c>
      <c r="J97" s="554">
        <v>70</v>
      </c>
      <c r="K97" s="549">
        <v>-0.6</v>
      </c>
      <c r="L97" s="555" t="s">
        <v>180</v>
      </c>
      <c r="M97" s="550" t="s">
        <v>180</v>
      </c>
      <c r="N97" s="551">
        <f t="shared" si="25"/>
        <v>0</v>
      </c>
      <c r="P97" s="457">
        <v>5</v>
      </c>
      <c r="Q97" s="554">
        <v>1000</v>
      </c>
      <c r="R97" s="555">
        <v>0.2</v>
      </c>
      <c r="S97" s="555" t="s">
        <v>180</v>
      </c>
      <c r="T97" s="550" t="s">
        <v>180</v>
      </c>
      <c r="U97" s="551">
        <f t="shared" si="26"/>
        <v>0</v>
      </c>
    </row>
    <row r="98" spans="1:28" x14ac:dyDescent="0.25">
      <c r="A98" s="1034"/>
      <c r="B98" s="457">
        <v>6</v>
      </c>
      <c r="C98" s="554">
        <v>37</v>
      </c>
      <c r="D98" s="549">
        <v>-0.5</v>
      </c>
      <c r="E98" s="555" t="s">
        <v>180</v>
      </c>
      <c r="F98" s="550" t="s">
        <v>180</v>
      </c>
      <c r="G98" s="551">
        <f t="shared" si="24"/>
        <v>0</v>
      </c>
      <c r="I98" s="457">
        <v>6</v>
      </c>
      <c r="J98" s="554">
        <v>80</v>
      </c>
      <c r="K98" s="549">
        <v>-0.5</v>
      </c>
      <c r="L98" s="555" t="s">
        <v>180</v>
      </c>
      <c r="M98" s="550" t="s">
        <v>180</v>
      </c>
      <c r="N98" s="551">
        <f t="shared" si="25"/>
        <v>0</v>
      </c>
      <c r="P98" s="457">
        <v>6</v>
      </c>
      <c r="Q98" s="554">
        <v>1005</v>
      </c>
      <c r="R98" s="555">
        <v>0.2</v>
      </c>
      <c r="S98" s="555" t="s">
        <v>180</v>
      </c>
      <c r="T98" s="550" t="s">
        <v>180</v>
      </c>
      <c r="U98" s="551">
        <f t="shared" si="26"/>
        <v>0</v>
      </c>
    </row>
    <row r="99" spans="1:28" x14ac:dyDescent="0.25">
      <c r="A99" s="1034"/>
      <c r="B99" s="457">
        <v>7</v>
      </c>
      <c r="C99" s="554">
        <v>40</v>
      </c>
      <c r="D99" s="549">
        <v>-0.4</v>
      </c>
      <c r="E99" s="555" t="s">
        <v>180</v>
      </c>
      <c r="F99" s="550" t="s">
        <v>180</v>
      </c>
      <c r="G99" s="551">
        <f t="shared" si="24"/>
        <v>0</v>
      </c>
      <c r="I99" s="457">
        <v>7</v>
      </c>
      <c r="J99" s="554">
        <v>90</v>
      </c>
      <c r="K99" s="549">
        <v>-0.2</v>
      </c>
      <c r="L99" s="555" t="s">
        <v>180</v>
      </c>
      <c r="M99" s="550" t="s">
        <v>180</v>
      </c>
      <c r="N99" s="551">
        <f t="shared" si="25"/>
        <v>0</v>
      </c>
      <c r="P99" s="457">
        <v>7</v>
      </c>
      <c r="Q99" s="554">
        <v>1020</v>
      </c>
      <c r="R99" s="555">
        <v>9.9999999999999995E-7</v>
      </c>
      <c r="S99" s="555" t="s">
        <v>180</v>
      </c>
      <c r="T99" s="550" t="s">
        <v>180</v>
      </c>
      <c r="U99" s="551">
        <f t="shared" si="26"/>
        <v>0</v>
      </c>
    </row>
    <row r="100" spans="1:28" ht="13.5" thickBot="1" x14ac:dyDescent="0.35">
      <c r="A100" s="559"/>
      <c r="B100" s="101"/>
      <c r="C100" s="101"/>
      <c r="D100" s="101"/>
      <c r="E100" s="560"/>
      <c r="G100" s="101"/>
      <c r="I100" s="101"/>
      <c r="J100" s="101"/>
      <c r="K100" s="101"/>
      <c r="L100" s="560"/>
      <c r="N100" s="101"/>
      <c r="R100" s="490"/>
      <c r="AB100" s="65"/>
    </row>
    <row r="101" spans="1:28" x14ac:dyDescent="0.25">
      <c r="A101" s="1034">
        <v>10</v>
      </c>
      <c r="B101" s="1025" t="s">
        <v>189</v>
      </c>
      <c r="C101" s="1025"/>
      <c r="D101" s="1025"/>
      <c r="E101" s="1025"/>
      <c r="F101" s="1025"/>
      <c r="G101" s="1025"/>
      <c r="I101" s="1025" t="str">
        <f>B101</f>
        <v>KOREKSI Sekonic HE-21.000669</v>
      </c>
      <c r="J101" s="1025"/>
      <c r="K101" s="1025"/>
      <c r="L101" s="1025"/>
      <c r="M101" s="1025"/>
      <c r="N101" s="1025"/>
      <c r="P101" s="1025" t="str">
        <f>I101</f>
        <v>KOREKSI Sekonic HE-21.000669</v>
      </c>
      <c r="Q101" s="1025"/>
      <c r="R101" s="1025"/>
      <c r="S101" s="1025"/>
      <c r="T101" s="1025"/>
      <c r="U101" s="1025"/>
      <c r="W101" s="1020" t="s">
        <v>173</v>
      </c>
      <c r="X101" s="1021"/>
    </row>
    <row r="102" spans="1:28" ht="13" x14ac:dyDescent="0.25">
      <c r="A102" s="1034"/>
      <c r="B102" s="1022" t="s">
        <v>174</v>
      </c>
      <c r="C102" s="1022"/>
      <c r="D102" s="1022" t="s">
        <v>175</v>
      </c>
      <c r="E102" s="1022"/>
      <c r="F102" s="1022"/>
      <c r="G102" s="1022" t="s">
        <v>176</v>
      </c>
      <c r="I102" s="1022" t="s">
        <v>177</v>
      </c>
      <c r="J102" s="1022"/>
      <c r="K102" s="1022" t="s">
        <v>175</v>
      </c>
      <c r="L102" s="1022"/>
      <c r="M102" s="1022"/>
      <c r="N102" s="1022" t="s">
        <v>176</v>
      </c>
      <c r="P102" s="1022" t="s">
        <v>178</v>
      </c>
      <c r="Q102" s="1022"/>
      <c r="R102" s="1022" t="s">
        <v>175</v>
      </c>
      <c r="S102" s="1022"/>
      <c r="T102" s="1022"/>
      <c r="U102" s="1022" t="s">
        <v>176</v>
      </c>
      <c r="W102" s="544" t="s">
        <v>174</v>
      </c>
      <c r="X102" s="545">
        <v>0.3</v>
      </c>
    </row>
    <row r="103" spans="1:28" ht="14.5" x14ac:dyDescent="0.25">
      <c r="A103" s="1034"/>
      <c r="B103" s="1024" t="s">
        <v>388</v>
      </c>
      <c r="C103" s="1024"/>
      <c r="D103" s="547">
        <v>2022</v>
      </c>
      <c r="E103" s="547">
        <v>2019</v>
      </c>
      <c r="F103" s="547">
        <v>2016</v>
      </c>
      <c r="G103" s="1022"/>
      <c r="I103" s="1023" t="s">
        <v>19</v>
      </c>
      <c r="J103" s="1024"/>
      <c r="K103" s="547">
        <f>D103</f>
        <v>2022</v>
      </c>
      <c r="L103" s="547">
        <f>E103</f>
        <v>2019</v>
      </c>
      <c r="M103" s="547">
        <f>F103</f>
        <v>2016</v>
      </c>
      <c r="N103" s="1022"/>
      <c r="P103" s="1023" t="s">
        <v>179</v>
      </c>
      <c r="Q103" s="1024"/>
      <c r="R103" s="547">
        <f>K103</f>
        <v>2022</v>
      </c>
      <c r="S103" s="547">
        <f>L103</f>
        <v>2019</v>
      </c>
      <c r="T103" s="547">
        <f>M103</f>
        <v>2016</v>
      </c>
      <c r="U103" s="1022"/>
      <c r="W103" s="544" t="s">
        <v>19</v>
      </c>
      <c r="X103" s="545">
        <v>1.5</v>
      </c>
    </row>
    <row r="104" spans="1:28" ht="13" thickBot="1" x14ac:dyDescent="0.3">
      <c r="A104" s="1034"/>
      <c r="B104" s="457">
        <v>1</v>
      </c>
      <c r="C104" s="549">
        <v>15</v>
      </c>
      <c r="D104" s="549">
        <v>0.3</v>
      </c>
      <c r="E104" s="549">
        <v>0.2</v>
      </c>
      <c r="F104" s="549">
        <v>0.2</v>
      </c>
      <c r="G104" s="551">
        <f>0.5*(MAX(D104:F104)-MIN(D104:F104))</f>
        <v>4.9999999999999989E-2</v>
      </c>
      <c r="I104" s="457">
        <v>1</v>
      </c>
      <c r="J104" s="549">
        <v>30</v>
      </c>
      <c r="K104" s="549">
        <v>-5.0999999999999996</v>
      </c>
      <c r="L104" s="549">
        <v>-2.9</v>
      </c>
      <c r="M104" s="549">
        <v>-5.8</v>
      </c>
      <c r="N104" s="551">
        <f>0.5*(MAX(K104:M104)-MIN(K104:M104))</f>
        <v>1.45</v>
      </c>
      <c r="P104" s="457">
        <v>1</v>
      </c>
      <c r="Q104" s="549">
        <v>750</v>
      </c>
      <c r="R104" s="550" t="s">
        <v>180</v>
      </c>
      <c r="S104" s="550" t="s">
        <v>180</v>
      </c>
      <c r="T104" s="550" t="s">
        <v>180</v>
      </c>
      <c r="U104" s="551">
        <f>0.5*(MAX(R104:T104)-MIN(R104:T104))</f>
        <v>0</v>
      </c>
      <c r="W104" s="552" t="s">
        <v>179</v>
      </c>
      <c r="X104" s="553">
        <v>0</v>
      </c>
    </row>
    <row r="105" spans="1:28" x14ac:dyDescent="0.25">
      <c r="A105" s="1034"/>
      <c r="B105" s="457">
        <v>2</v>
      </c>
      <c r="C105" s="549">
        <v>20</v>
      </c>
      <c r="D105" s="549">
        <v>0.3</v>
      </c>
      <c r="E105" s="549">
        <v>0.2</v>
      </c>
      <c r="F105" s="549">
        <v>-0.7</v>
      </c>
      <c r="G105" s="551">
        <f t="shared" ref="G105:G110" si="27">0.5*(MAX(D105:F105)-MIN(D105:F105))</f>
        <v>0.5</v>
      </c>
      <c r="I105" s="457">
        <v>2</v>
      </c>
      <c r="J105" s="549">
        <v>40</v>
      </c>
      <c r="K105" s="549">
        <v>-5.2</v>
      </c>
      <c r="L105" s="549">
        <v>-3.3</v>
      </c>
      <c r="M105" s="549">
        <v>-6.4</v>
      </c>
      <c r="N105" s="551">
        <f t="shared" ref="N105:N110" si="28">0.5*(MAX(K105:M105)-MIN(K105:M105))</f>
        <v>1.5500000000000003</v>
      </c>
      <c r="P105" s="457">
        <v>2</v>
      </c>
      <c r="Q105" s="549">
        <v>800</v>
      </c>
      <c r="R105" s="550" t="s">
        <v>180</v>
      </c>
      <c r="S105" s="550" t="s">
        <v>180</v>
      </c>
      <c r="T105" s="550" t="s">
        <v>180</v>
      </c>
      <c r="U105" s="551">
        <f t="shared" ref="U105:U110" si="29">0.5*(MAX(R105:T105)-MIN(R105:T105))</f>
        <v>0</v>
      </c>
    </row>
    <row r="106" spans="1:28" x14ac:dyDescent="0.25">
      <c r="A106" s="1034"/>
      <c r="B106" s="457">
        <v>3</v>
      </c>
      <c r="C106" s="549">
        <v>25</v>
      </c>
      <c r="D106" s="549">
        <v>0.3</v>
      </c>
      <c r="E106" s="549">
        <v>0.1</v>
      </c>
      <c r="F106" s="549">
        <v>-0.5</v>
      </c>
      <c r="G106" s="551">
        <f t="shared" si="27"/>
        <v>0.4</v>
      </c>
      <c r="I106" s="457">
        <v>3</v>
      </c>
      <c r="J106" s="549">
        <v>50</v>
      </c>
      <c r="K106" s="549">
        <v>-5</v>
      </c>
      <c r="L106" s="549">
        <v>-3.1</v>
      </c>
      <c r="M106" s="549">
        <v>-6.1</v>
      </c>
      <c r="N106" s="551">
        <f t="shared" si="28"/>
        <v>1.4999999999999998</v>
      </c>
      <c r="P106" s="457">
        <v>3</v>
      </c>
      <c r="Q106" s="549">
        <v>850</v>
      </c>
      <c r="R106" s="550" t="s">
        <v>180</v>
      </c>
      <c r="S106" s="550" t="s">
        <v>180</v>
      </c>
      <c r="T106" s="550" t="s">
        <v>180</v>
      </c>
      <c r="U106" s="551">
        <f t="shared" si="29"/>
        <v>0</v>
      </c>
    </row>
    <row r="107" spans="1:28" x14ac:dyDescent="0.25">
      <c r="A107" s="1034"/>
      <c r="B107" s="457">
        <v>4</v>
      </c>
      <c r="C107" s="554">
        <v>30</v>
      </c>
      <c r="D107" s="554">
        <v>0.3</v>
      </c>
      <c r="E107" s="554">
        <v>0.1</v>
      </c>
      <c r="F107" s="554">
        <v>0.2</v>
      </c>
      <c r="G107" s="551">
        <f t="shared" si="27"/>
        <v>9.9999999999999992E-2</v>
      </c>
      <c r="I107" s="457">
        <v>4</v>
      </c>
      <c r="J107" s="554">
        <v>60</v>
      </c>
      <c r="K107" s="554">
        <v>-3.9</v>
      </c>
      <c r="L107" s="554">
        <v>-2.1</v>
      </c>
      <c r="M107" s="554">
        <v>-5.6</v>
      </c>
      <c r="N107" s="551">
        <f t="shared" si="28"/>
        <v>1.7499999999999998</v>
      </c>
      <c r="P107" s="457">
        <v>4</v>
      </c>
      <c r="Q107" s="554">
        <v>900</v>
      </c>
      <c r="R107" s="555" t="s">
        <v>180</v>
      </c>
      <c r="S107" s="555" t="s">
        <v>180</v>
      </c>
      <c r="T107" s="550" t="s">
        <v>180</v>
      </c>
      <c r="U107" s="551">
        <f t="shared" si="29"/>
        <v>0</v>
      </c>
    </row>
    <row r="108" spans="1:28" x14ac:dyDescent="0.25">
      <c r="A108" s="1034"/>
      <c r="B108" s="457">
        <v>5</v>
      </c>
      <c r="C108" s="554">
        <v>35</v>
      </c>
      <c r="D108" s="554">
        <v>0.3</v>
      </c>
      <c r="E108" s="554">
        <v>0.2</v>
      </c>
      <c r="F108" s="554">
        <v>0.8</v>
      </c>
      <c r="G108" s="551">
        <f t="shared" si="27"/>
        <v>0.30000000000000004</v>
      </c>
      <c r="I108" s="457">
        <v>5</v>
      </c>
      <c r="J108" s="554">
        <v>70</v>
      </c>
      <c r="K108" s="554">
        <v>-2</v>
      </c>
      <c r="L108" s="554">
        <v>-0.3</v>
      </c>
      <c r="M108" s="554">
        <v>-5.0999999999999996</v>
      </c>
      <c r="N108" s="551">
        <f t="shared" si="28"/>
        <v>2.4</v>
      </c>
      <c r="P108" s="457">
        <v>5</v>
      </c>
      <c r="Q108" s="554">
        <v>1000</v>
      </c>
      <c r="R108" s="555" t="s">
        <v>180</v>
      </c>
      <c r="S108" s="555" t="s">
        <v>180</v>
      </c>
      <c r="T108" s="550" t="s">
        <v>180</v>
      </c>
      <c r="U108" s="551">
        <f t="shared" si="29"/>
        <v>0</v>
      </c>
    </row>
    <row r="109" spans="1:28" x14ac:dyDescent="0.25">
      <c r="A109" s="1034"/>
      <c r="B109" s="457">
        <v>6</v>
      </c>
      <c r="C109" s="554">
        <v>37</v>
      </c>
      <c r="D109" s="554">
        <v>0.4</v>
      </c>
      <c r="E109" s="554">
        <v>0.2</v>
      </c>
      <c r="F109" s="554">
        <v>0.4</v>
      </c>
      <c r="G109" s="551">
        <f t="shared" si="27"/>
        <v>0.1</v>
      </c>
      <c r="I109" s="457">
        <v>6</v>
      </c>
      <c r="J109" s="554">
        <v>80</v>
      </c>
      <c r="K109" s="554">
        <v>0.7</v>
      </c>
      <c r="L109" s="554">
        <v>2.2000000000000002</v>
      </c>
      <c r="M109" s="554">
        <v>-4.7</v>
      </c>
      <c r="N109" s="551">
        <f t="shared" si="28"/>
        <v>3.45</v>
      </c>
      <c r="P109" s="457">
        <v>6</v>
      </c>
      <c r="Q109" s="554">
        <v>1005</v>
      </c>
      <c r="R109" s="555" t="s">
        <v>180</v>
      </c>
      <c r="S109" s="555" t="s">
        <v>180</v>
      </c>
      <c r="T109" s="550" t="s">
        <v>180</v>
      </c>
      <c r="U109" s="551">
        <f t="shared" si="29"/>
        <v>0</v>
      </c>
    </row>
    <row r="110" spans="1:28" ht="13" thickBot="1" x14ac:dyDescent="0.3">
      <c r="A110" s="1034"/>
      <c r="B110" s="457">
        <v>7</v>
      </c>
      <c r="C110" s="554">
        <v>40</v>
      </c>
      <c r="D110" s="549">
        <v>0.4</v>
      </c>
      <c r="E110" s="549">
        <v>0.2</v>
      </c>
      <c r="F110" s="549">
        <v>9.9999999999999995E-7</v>
      </c>
      <c r="G110" s="551">
        <f t="shared" si="27"/>
        <v>0.19999950000000002</v>
      </c>
      <c r="I110" s="457">
        <v>7</v>
      </c>
      <c r="J110" s="554">
        <v>90</v>
      </c>
      <c r="K110" s="554">
        <v>4.2</v>
      </c>
      <c r="L110" s="554">
        <v>5.4</v>
      </c>
      <c r="M110" s="554">
        <v>9.9999999999999995E-7</v>
      </c>
      <c r="N110" s="551">
        <f t="shared" si="28"/>
        <v>2.6999995000000001</v>
      </c>
      <c r="P110" s="457">
        <v>7</v>
      </c>
      <c r="Q110" s="554">
        <v>1020</v>
      </c>
      <c r="R110" s="555" t="s">
        <v>180</v>
      </c>
      <c r="S110" s="555" t="s">
        <v>180</v>
      </c>
      <c r="T110" s="550" t="s">
        <v>180</v>
      </c>
      <c r="U110" s="551">
        <f t="shared" si="29"/>
        <v>0</v>
      </c>
    </row>
    <row r="111" spans="1:28" ht="13.5" thickBot="1" x14ac:dyDescent="0.35">
      <c r="A111" s="559"/>
      <c r="B111" s="101"/>
      <c r="C111" s="101"/>
      <c r="D111" s="101"/>
      <c r="E111" s="560"/>
      <c r="F111" s="101"/>
      <c r="G111" s="65"/>
      <c r="H111" s="101"/>
      <c r="I111" s="101"/>
      <c r="J111" s="101"/>
      <c r="K111" s="560"/>
      <c r="L111" s="101"/>
      <c r="M111" s="65"/>
      <c r="O111" s="561"/>
      <c r="P111" s="490"/>
    </row>
    <row r="112" spans="1:28" x14ac:dyDescent="0.25">
      <c r="A112" s="1034">
        <v>11</v>
      </c>
      <c r="B112" s="1025" t="s">
        <v>190</v>
      </c>
      <c r="C112" s="1025"/>
      <c r="D112" s="1025"/>
      <c r="E112" s="1025"/>
      <c r="F112" s="1025"/>
      <c r="G112" s="1025"/>
      <c r="I112" s="1025" t="str">
        <f>B112</f>
        <v>KOREKSI Sekonic HE-21.000670</v>
      </c>
      <c r="J112" s="1025"/>
      <c r="K112" s="1025"/>
      <c r="L112" s="1025"/>
      <c r="M112" s="1025"/>
      <c r="N112" s="1025"/>
      <c r="P112" s="1025" t="str">
        <f>I112</f>
        <v>KOREKSI Sekonic HE-21.000670</v>
      </c>
      <c r="Q112" s="1025"/>
      <c r="R112" s="1025"/>
      <c r="S112" s="1025"/>
      <c r="T112" s="1025"/>
      <c r="U112" s="1025"/>
      <c r="W112" s="1020" t="s">
        <v>173</v>
      </c>
      <c r="X112" s="1021"/>
      <c r="AB112" s="561"/>
    </row>
    <row r="113" spans="1:24" ht="13" x14ac:dyDescent="0.25">
      <c r="A113" s="1034"/>
      <c r="B113" s="1022" t="s">
        <v>174</v>
      </c>
      <c r="C113" s="1022"/>
      <c r="D113" s="1022" t="s">
        <v>175</v>
      </c>
      <c r="E113" s="1022"/>
      <c r="F113" s="1022"/>
      <c r="G113" s="1022" t="s">
        <v>176</v>
      </c>
      <c r="I113" s="1022" t="s">
        <v>177</v>
      </c>
      <c r="J113" s="1022"/>
      <c r="K113" s="1022" t="s">
        <v>175</v>
      </c>
      <c r="L113" s="1022"/>
      <c r="M113" s="1022"/>
      <c r="N113" s="1022" t="s">
        <v>176</v>
      </c>
      <c r="P113" s="1022" t="s">
        <v>178</v>
      </c>
      <c r="Q113" s="1022"/>
      <c r="R113" s="1022" t="s">
        <v>175</v>
      </c>
      <c r="S113" s="1022"/>
      <c r="T113" s="1022"/>
      <c r="U113" s="1022" t="s">
        <v>176</v>
      </c>
      <c r="W113" s="544" t="s">
        <v>174</v>
      </c>
      <c r="X113" s="545">
        <v>0.3</v>
      </c>
    </row>
    <row r="114" spans="1:24" ht="14.5" x14ac:dyDescent="0.25">
      <c r="A114" s="1034"/>
      <c r="B114" s="1024" t="s">
        <v>388</v>
      </c>
      <c r="C114" s="1024"/>
      <c r="D114" s="547">
        <v>2022</v>
      </c>
      <c r="E114" s="547">
        <v>2020</v>
      </c>
      <c r="F114" s="548">
        <v>2016</v>
      </c>
      <c r="G114" s="1022"/>
      <c r="I114" s="1023" t="s">
        <v>19</v>
      </c>
      <c r="J114" s="1024"/>
      <c r="K114" s="547">
        <f>D114</f>
        <v>2022</v>
      </c>
      <c r="L114" s="547">
        <f>E114</f>
        <v>2020</v>
      </c>
      <c r="M114" s="547">
        <f>F114</f>
        <v>2016</v>
      </c>
      <c r="N114" s="1022"/>
      <c r="P114" s="1023" t="s">
        <v>179</v>
      </c>
      <c r="Q114" s="1024"/>
      <c r="R114" s="547">
        <f>K114</f>
        <v>2022</v>
      </c>
      <c r="S114" s="547">
        <f>L114</f>
        <v>2020</v>
      </c>
      <c r="T114" s="547">
        <f>M114</f>
        <v>2016</v>
      </c>
      <c r="U114" s="1022"/>
      <c r="W114" s="544" t="s">
        <v>19</v>
      </c>
      <c r="X114" s="545">
        <v>1.8</v>
      </c>
    </row>
    <row r="115" spans="1:24" ht="13" thickBot="1" x14ac:dyDescent="0.3">
      <c r="A115" s="1034"/>
      <c r="B115" s="457">
        <v>1</v>
      </c>
      <c r="C115" s="549">
        <v>15</v>
      </c>
      <c r="D115" s="549">
        <v>0.6</v>
      </c>
      <c r="E115" s="549">
        <v>0.3</v>
      </c>
      <c r="F115" s="549">
        <v>0.3</v>
      </c>
      <c r="G115" s="551">
        <f>0.5*(MAX(D115:F115)-MIN(D115:F115))</f>
        <v>0.15</v>
      </c>
      <c r="I115" s="457">
        <v>1</v>
      </c>
      <c r="J115" s="549">
        <v>30</v>
      </c>
      <c r="K115" s="549">
        <v>-9.6999999999999993</v>
      </c>
      <c r="L115" s="549">
        <v>-5.2</v>
      </c>
      <c r="M115" s="549">
        <v>-6.4</v>
      </c>
      <c r="N115" s="551">
        <f>0.5*(MAX(K115:M115)-MIN(K115:M115))</f>
        <v>2.2499999999999996</v>
      </c>
      <c r="P115" s="457">
        <v>1</v>
      </c>
      <c r="Q115" s="549">
        <v>750</v>
      </c>
      <c r="R115" s="550" t="s">
        <v>180</v>
      </c>
      <c r="S115" s="549" t="s">
        <v>180</v>
      </c>
      <c r="T115" s="550" t="s">
        <v>180</v>
      </c>
      <c r="U115" s="551">
        <f>0.5*(MAX(R115:T115)-MIN(R115:T115))</f>
        <v>0</v>
      </c>
      <c r="W115" s="552" t="s">
        <v>179</v>
      </c>
      <c r="X115" s="553">
        <v>0</v>
      </c>
    </row>
    <row r="116" spans="1:24" x14ac:dyDescent="0.25">
      <c r="A116" s="1034"/>
      <c r="B116" s="457">
        <v>2</v>
      </c>
      <c r="C116" s="549">
        <v>20</v>
      </c>
      <c r="D116" s="549">
        <v>0.6</v>
      </c>
      <c r="E116" s="549">
        <v>0.4</v>
      </c>
      <c r="F116" s="549">
        <v>0.5</v>
      </c>
      <c r="G116" s="551">
        <f t="shared" ref="G116:G121" si="30">0.5*(MAX(D116:F116)-MIN(D116:F116))</f>
        <v>9.9999999999999978E-2</v>
      </c>
      <c r="I116" s="457">
        <v>2</v>
      </c>
      <c r="J116" s="549">
        <v>40</v>
      </c>
      <c r="K116" s="549">
        <v>-8.6</v>
      </c>
      <c r="L116" s="549">
        <v>-5.5</v>
      </c>
      <c r="M116" s="549">
        <v>-5.9</v>
      </c>
      <c r="N116" s="551">
        <f t="shared" ref="N116:N121" si="31">0.5*(MAX(K116:M116)-MIN(K116:M116))</f>
        <v>1.5499999999999998</v>
      </c>
      <c r="P116" s="457">
        <v>2</v>
      </c>
      <c r="Q116" s="549">
        <v>800</v>
      </c>
      <c r="R116" s="550" t="s">
        <v>180</v>
      </c>
      <c r="S116" s="549" t="s">
        <v>180</v>
      </c>
      <c r="T116" s="550" t="s">
        <v>180</v>
      </c>
      <c r="U116" s="551">
        <f t="shared" ref="U116:U121" si="32">0.5*(MAX(R116:T116)-MIN(R116:T116))</f>
        <v>0</v>
      </c>
    </row>
    <row r="117" spans="1:24" x14ac:dyDescent="0.25">
      <c r="A117" s="1034"/>
      <c r="B117" s="457">
        <v>3</v>
      </c>
      <c r="C117" s="549">
        <v>25</v>
      </c>
      <c r="D117" s="549">
        <v>0.5</v>
      </c>
      <c r="E117" s="549">
        <v>0.4</v>
      </c>
      <c r="F117" s="549">
        <v>0.5</v>
      </c>
      <c r="G117" s="551">
        <f t="shared" si="30"/>
        <v>4.9999999999999989E-2</v>
      </c>
      <c r="I117" s="457">
        <v>3</v>
      </c>
      <c r="J117" s="549">
        <v>50</v>
      </c>
      <c r="K117" s="549">
        <v>-6.4</v>
      </c>
      <c r="L117" s="549">
        <v>-5.5</v>
      </c>
      <c r="M117" s="549">
        <v>-5.6</v>
      </c>
      <c r="N117" s="551">
        <f t="shared" si="31"/>
        <v>0.45000000000000018</v>
      </c>
      <c r="P117" s="457">
        <v>3</v>
      </c>
      <c r="Q117" s="549">
        <v>850</v>
      </c>
      <c r="R117" s="550" t="s">
        <v>180</v>
      </c>
      <c r="S117" s="549" t="s">
        <v>180</v>
      </c>
      <c r="T117" s="550" t="s">
        <v>180</v>
      </c>
      <c r="U117" s="551">
        <f t="shared" si="32"/>
        <v>0</v>
      </c>
    </row>
    <row r="118" spans="1:24" x14ac:dyDescent="0.25">
      <c r="A118" s="1034"/>
      <c r="B118" s="457">
        <v>4</v>
      </c>
      <c r="C118" s="554">
        <v>30</v>
      </c>
      <c r="D118" s="554">
        <v>0.2</v>
      </c>
      <c r="E118" s="554">
        <v>0.5</v>
      </c>
      <c r="F118" s="554">
        <v>0.4</v>
      </c>
      <c r="G118" s="551">
        <f t="shared" si="30"/>
        <v>0.15</v>
      </c>
      <c r="I118" s="457">
        <v>4</v>
      </c>
      <c r="J118" s="554">
        <v>60</v>
      </c>
      <c r="K118" s="554">
        <v>-4.3</v>
      </c>
      <c r="L118" s="554">
        <v>-4.8</v>
      </c>
      <c r="M118" s="554">
        <v>-4.5</v>
      </c>
      <c r="N118" s="551">
        <f t="shared" si="31"/>
        <v>0.25</v>
      </c>
      <c r="P118" s="457">
        <v>4</v>
      </c>
      <c r="Q118" s="554">
        <v>900</v>
      </c>
      <c r="R118" s="555" t="s">
        <v>180</v>
      </c>
      <c r="S118" s="555" t="s">
        <v>180</v>
      </c>
      <c r="T118" s="550" t="s">
        <v>180</v>
      </c>
      <c r="U118" s="551">
        <f t="shared" si="32"/>
        <v>0</v>
      </c>
    </row>
    <row r="119" spans="1:24" x14ac:dyDescent="0.25">
      <c r="A119" s="1034"/>
      <c r="B119" s="457">
        <v>5</v>
      </c>
      <c r="C119" s="554">
        <v>35</v>
      </c>
      <c r="D119" s="554">
        <v>-0.1</v>
      </c>
      <c r="E119" s="554">
        <v>0.5</v>
      </c>
      <c r="F119" s="554">
        <v>0.4</v>
      </c>
      <c r="G119" s="551">
        <f t="shared" si="30"/>
        <v>0.3</v>
      </c>
      <c r="I119" s="457">
        <v>5</v>
      </c>
      <c r="J119" s="554">
        <v>70</v>
      </c>
      <c r="K119" s="554">
        <v>-2.2000000000000002</v>
      </c>
      <c r="L119" s="554">
        <v>-3.4</v>
      </c>
      <c r="M119" s="554">
        <v>-1.7</v>
      </c>
      <c r="N119" s="551">
        <f t="shared" si="31"/>
        <v>0.85</v>
      </c>
      <c r="P119" s="457">
        <v>5</v>
      </c>
      <c r="Q119" s="554">
        <v>1000</v>
      </c>
      <c r="R119" s="555" t="s">
        <v>180</v>
      </c>
      <c r="S119" s="555" t="s">
        <v>180</v>
      </c>
      <c r="T119" s="550" t="s">
        <v>180</v>
      </c>
      <c r="U119" s="551">
        <f t="shared" si="32"/>
        <v>0</v>
      </c>
    </row>
    <row r="120" spans="1:24" x14ac:dyDescent="0.25">
      <c r="A120" s="1034"/>
      <c r="B120" s="457">
        <v>6</v>
      </c>
      <c r="C120" s="554">
        <v>37</v>
      </c>
      <c r="D120" s="554">
        <v>-0.3</v>
      </c>
      <c r="E120" s="554">
        <v>0.5</v>
      </c>
      <c r="F120" s="554">
        <v>0.5</v>
      </c>
      <c r="G120" s="551">
        <f t="shared" si="30"/>
        <v>0.4</v>
      </c>
      <c r="I120" s="457">
        <v>6</v>
      </c>
      <c r="J120" s="554">
        <v>80</v>
      </c>
      <c r="K120" s="554">
        <v>-0.2</v>
      </c>
      <c r="L120" s="554">
        <v>-1.4</v>
      </c>
      <c r="M120" s="554">
        <v>2.6</v>
      </c>
      <c r="N120" s="551">
        <f t="shared" si="31"/>
        <v>2</v>
      </c>
      <c r="P120" s="457">
        <v>6</v>
      </c>
      <c r="Q120" s="554">
        <v>1005</v>
      </c>
      <c r="R120" s="555" t="s">
        <v>180</v>
      </c>
      <c r="S120" s="555" t="s">
        <v>180</v>
      </c>
      <c r="T120" s="550" t="s">
        <v>180</v>
      </c>
      <c r="U120" s="551">
        <f t="shared" si="32"/>
        <v>0</v>
      </c>
    </row>
    <row r="121" spans="1:24" ht="13" thickBot="1" x14ac:dyDescent="0.3">
      <c r="A121" s="1034"/>
      <c r="B121" s="457">
        <v>7</v>
      </c>
      <c r="C121" s="554">
        <v>40</v>
      </c>
      <c r="D121" s="554">
        <v>-0.5</v>
      </c>
      <c r="E121" s="554">
        <v>0.5</v>
      </c>
      <c r="F121" s="554">
        <v>9.9999999999999995E-7</v>
      </c>
      <c r="G121" s="551">
        <f t="shared" si="30"/>
        <v>0.5</v>
      </c>
      <c r="I121" s="457">
        <v>7</v>
      </c>
      <c r="J121" s="554">
        <v>90</v>
      </c>
      <c r="K121" s="554">
        <v>1.7</v>
      </c>
      <c r="L121" s="554">
        <v>1.3</v>
      </c>
      <c r="M121" s="554">
        <v>9.9999999999999995E-7</v>
      </c>
      <c r="N121" s="551">
        <f t="shared" si="31"/>
        <v>0.84999950000000002</v>
      </c>
      <c r="P121" s="457">
        <v>7</v>
      </c>
      <c r="Q121" s="554">
        <v>1020</v>
      </c>
      <c r="R121" s="555" t="s">
        <v>180</v>
      </c>
      <c r="S121" s="555" t="s">
        <v>180</v>
      </c>
      <c r="T121" s="550" t="s">
        <v>180</v>
      </c>
      <c r="U121" s="551">
        <f t="shared" si="32"/>
        <v>0</v>
      </c>
    </row>
    <row r="122" spans="1:24" ht="13.5" thickBot="1" x14ac:dyDescent="0.35">
      <c r="A122" s="559"/>
      <c r="B122" s="101"/>
      <c r="C122" s="101"/>
      <c r="D122" s="101"/>
      <c r="E122" s="560"/>
      <c r="F122" s="101"/>
      <c r="G122" s="65"/>
      <c r="I122" s="101"/>
      <c r="J122" s="101"/>
      <c r="K122" s="101"/>
      <c r="L122" s="560"/>
      <c r="M122" s="101"/>
      <c r="Q122" s="561"/>
      <c r="R122" s="490"/>
    </row>
    <row r="123" spans="1:24" x14ac:dyDescent="0.25">
      <c r="A123" s="1034">
        <v>12</v>
      </c>
      <c r="B123" s="1025" t="s">
        <v>191</v>
      </c>
      <c r="C123" s="1025"/>
      <c r="D123" s="1025"/>
      <c r="E123" s="1025"/>
      <c r="F123" s="1025"/>
      <c r="G123" s="1025"/>
      <c r="I123" s="1025" t="str">
        <f>B123</f>
        <v>KOREKSI EXTECH A.100586</v>
      </c>
      <c r="J123" s="1025"/>
      <c r="K123" s="1025"/>
      <c r="L123" s="1025"/>
      <c r="M123" s="1025"/>
      <c r="N123" s="1025"/>
      <c r="P123" s="1025" t="str">
        <f>I123</f>
        <v>KOREKSI EXTECH A.100586</v>
      </c>
      <c r="Q123" s="1025"/>
      <c r="R123" s="1025"/>
      <c r="S123" s="1025"/>
      <c r="T123" s="1025"/>
      <c r="U123" s="1025"/>
      <c r="W123" s="1020" t="s">
        <v>173</v>
      </c>
      <c r="X123" s="1021"/>
    </row>
    <row r="124" spans="1:24" ht="13" x14ac:dyDescent="0.25">
      <c r="A124" s="1034"/>
      <c r="B124" s="1022" t="s">
        <v>174</v>
      </c>
      <c r="C124" s="1022"/>
      <c r="D124" s="1022" t="s">
        <v>175</v>
      </c>
      <c r="E124" s="1022"/>
      <c r="F124" s="1022"/>
      <c r="G124" s="1022" t="s">
        <v>176</v>
      </c>
      <c r="I124" s="1022" t="s">
        <v>177</v>
      </c>
      <c r="J124" s="1022"/>
      <c r="K124" s="1022" t="s">
        <v>175</v>
      </c>
      <c r="L124" s="1022"/>
      <c r="M124" s="1022"/>
      <c r="N124" s="1022" t="s">
        <v>176</v>
      </c>
      <c r="P124" s="1022" t="s">
        <v>178</v>
      </c>
      <c r="Q124" s="1022"/>
      <c r="R124" s="1022" t="s">
        <v>175</v>
      </c>
      <c r="S124" s="1022"/>
      <c r="T124" s="1022"/>
      <c r="U124" s="1022" t="s">
        <v>176</v>
      </c>
      <c r="W124" s="544" t="s">
        <v>174</v>
      </c>
      <c r="X124" s="545">
        <v>0.3</v>
      </c>
    </row>
    <row r="125" spans="1:24" ht="14.5" x14ac:dyDescent="0.25">
      <c r="A125" s="1034"/>
      <c r="B125" s="1024" t="s">
        <v>388</v>
      </c>
      <c r="C125" s="1024"/>
      <c r="D125" s="547">
        <v>2020</v>
      </c>
      <c r="E125" s="548" t="s">
        <v>180</v>
      </c>
      <c r="F125" s="548" t="s">
        <v>180</v>
      </c>
      <c r="G125" s="1022"/>
      <c r="I125" s="1023" t="s">
        <v>19</v>
      </c>
      <c r="J125" s="1024"/>
      <c r="K125" s="547">
        <f>D125</f>
        <v>2020</v>
      </c>
      <c r="L125" s="547" t="str">
        <f>E125</f>
        <v>-</v>
      </c>
      <c r="M125" s="547" t="str">
        <f>F125</f>
        <v>-</v>
      </c>
      <c r="N125" s="1022"/>
      <c r="P125" s="1023" t="s">
        <v>179</v>
      </c>
      <c r="Q125" s="1024"/>
      <c r="R125" s="547">
        <f>K125</f>
        <v>2020</v>
      </c>
      <c r="S125" s="547" t="str">
        <f>L125</f>
        <v>-</v>
      </c>
      <c r="T125" s="547" t="str">
        <f>M125</f>
        <v>-</v>
      </c>
      <c r="U125" s="1022"/>
      <c r="W125" s="544" t="s">
        <v>19</v>
      </c>
      <c r="X125" s="545">
        <v>2</v>
      </c>
    </row>
    <row r="126" spans="1:24" ht="13" thickBot="1" x14ac:dyDescent="0.3">
      <c r="A126" s="1034"/>
      <c r="B126" s="457">
        <v>1</v>
      </c>
      <c r="C126" s="549">
        <v>15</v>
      </c>
      <c r="D126" s="549">
        <v>9.9999999999999995E-7</v>
      </c>
      <c r="E126" s="549" t="s">
        <v>180</v>
      </c>
      <c r="F126" s="550" t="s">
        <v>180</v>
      </c>
      <c r="G126" s="551">
        <f>0.5*(MAX(D126:F126)-MIN(D126:F126))</f>
        <v>0</v>
      </c>
      <c r="I126" s="457">
        <v>1</v>
      </c>
      <c r="J126" s="549">
        <v>30</v>
      </c>
      <c r="K126" s="549">
        <v>-0.4</v>
      </c>
      <c r="L126" s="549" t="s">
        <v>180</v>
      </c>
      <c r="M126" s="550" t="s">
        <v>180</v>
      </c>
      <c r="N126" s="551">
        <f>0.5*(MAX(K126:M126)-MIN(K126:M126))</f>
        <v>0</v>
      </c>
      <c r="P126" s="457">
        <v>1</v>
      </c>
      <c r="Q126" s="549">
        <v>800</v>
      </c>
      <c r="R126" s="550">
        <v>-0.4</v>
      </c>
      <c r="S126" s="549" t="s">
        <v>180</v>
      </c>
      <c r="T126" s="550" t="s">
        <v>180</v>
      </c>
      <c r="U126" s="551">
        <f>0.5*(MAX(R126:T126)-MIN(R126:T126))</f>
        <v>0</v>
      </c>
      <c r="W126" s="552" t="s">
        <v>179</v>
      </c>
      <c r="X126" s="553">
        <v>2.4</v>
      </c>
    </row>
    <row r="127" spans="1:24" x14ac:dyDescent="0.25">
      <c r="A127" s="1034"/>
      <c r="B127" s="457">
        <v>2</v>
      </c>
      <c r="C127" s="549">
        <v>20</v>
      </c>
      <c r="D127" s="549">
        <v>9.9999999999999995E-7</v>
      </c>
      <c r="E127" s="549" t="s">
        <v>180</v>
      </c>
      <c r="F127" s="550" t="s">
        <v>180</v>
      </c>
      <c r="G127" s="551">
        <f t="shared" ref="G127:G132" si="33">0.5*(MAX(D127:F127)-MIN(D127:F127))</f>
        <v>0</v>
      </c>
      <c r="I127" s="457">
        <v>2</v>
      </c>
      <c r="J127" s="549">
        <v>40</v>
      </c>
      <c r="K127" s="549">
        <v>-0.1</v>
      </c>
      <c r="L127" s="549" t="s">
        <v>180</v>
      </c>
      <c r="M127" s="550" t="s">
        <v>180</v>
      </c>
      <c r="N127" s="551">
        <f t="shared" ref="N127:N132" si="34">0.5*(MAX(K127:M127)-MIN(K127:M127))</f>
        <v>0</v>
      </c>
      <c r="P127" s="457">
        <v>2</v>
      </c>
      <c r="Q127" s="549">
        <v>850</v>
      </c>
      <c r="R127" s="550">
        <v>-0.5</v>
      </c>
      <c r="S127" s="549" t="s">
        <v>180</v>
      </c>
      <c r="T127" s="550" t="s">
        <v>180</v>
      </c>
      <c r="U127" s="551">
        <f t="shared" ref="U127:U132" si="35">0.5*(MAX(R127:T127)-MIN(R127:T127))</f>
        <v>0</v>
      </c>
    </row>
    <row r="128" spans="1:24" x14ac:dyDescent="0.25">
      <c r="A128" s="1034"/>
      <c r="B128" s="457">
        <v>3</v>
      </c>
      <c r="C128" s="549">
        <v>25</v>
      </c>
      <c r="D128" s="549">
        <v>9.9999999999999995E-7</v>
      </c>
      <c r="E128" s="549" t="s">
        <v>180</v>
      </c>
      <c r="F128" s="550" t="s">
        <v>180</v>
      </c>
      <c r="G128" s="551">
        <f t="shared" si="33"/>
        <v>0</v>
      </c>
      <c r="I128" s="457">
        <v>3</v>
      </c>
      <c r="J128" s="549">
        <v>50</v>
      </c>
      <c r="K128" s="549">
        <v>9.9999999999999995E-7</v>
      </c>
      <c r="L128" s="549" t="s">
        <v>180</v>
      </c>
      <c r="M128" s="550" t="s">
        <v>180</v>
      </c>
      <c r="N128" s="551">
        <f t="shared" si="34"/>
        <v>0</v>
      </c>
      <c r="P128" s="457">
        <v>3</v>
      </c>
      <c r="Q128" s="554">
        <v>900</v>
      </c>
      <c r="R128" s="555">
        <v>-0.6</v>
      </c>
      <c r="S128" s="549" t="s">
        <v>180</v>
      </c>
      <c r="T128" s="550" t="s">
        <v>180</v>
      </c>
      <c r="U128" s="551">
        <f t="shared" si="35"/>
        <v>0</v>
      </c>
    </row>
    <row r="129" spans="1:24" x14ac:dyDescent="0.25">
      <c r="A129" s="1034"/>
      <c r="B129" s="457">
        <v>4</v>
      </c>
      <c r="C129" s="554">
        <v>30</v>
      </c>
      <c r="D129" s="554">
        <v>-0.1</v>
      </c>
      <c r="E129" s="555" t="s">
        <v>180</v>
      </c>
      <c r="F129" s="550" t="s">
        <v>180</v>
      </c>
      <c r="G129" s="551">
        <f t="shared" si="33"/>
        <v>0</v>
      </c>
      <c r="I129" s="457">
        <v>4</v>
      </c>
      <c r="J129" s="554">
        <v>60</v>
      </c>
      <c r="K129" s="554">
        <v>9.9999999999999995E-7</v>
      </c>
      <c r="L129" s="555" t="s">
        <v>180</v>
      </c>
      <c r="M129" s="550" t="s">
        <v>180</v>
      </c>
      <c r="N129" s="551">
        <f t="shared" si="34"/>
        <v>0</v>
      </c>
      <c r="P129" s="457">
        <v>4</v>
      </c>
      <c r="Q129" s="554">
        <v>950</v>
      </c>
      <c r="R129" s="555">
        <v>-0.7</v>
      </c>
      <c r="S129" s="555" t="s">
        <v>180</v>
      </c>
      <c r="T129" s="550" t="s">
        <v>180</v>
      </c>
      <c r="U129" s="551">
        <f t="shared" si="35"/>
        <v>0</v>
      </c>
    </row>
    <row r="130" spans="1:24" x14ac:dyDescent="0.25">
      <c r="A130" s="1034"/>
      <c r="B130" s="457">
        <v>5</v>
      </c>
      <c r="C130" s="554">
        <v>35</v>
      </c>
      <c r="D130" s="554">
        <v>-0.2</v>
      </c>
      <c r="E130" s="555" t="s">
        <v>180</v>
      </c>
      <c r="F130" s="550" t="s">
        <v>180</v>
      </c>
      <c r="G130" s="551">
        <f t="shared" si="33"/>
        <v>0</v>
      </c>
      <c r="I130" s="457">
        <v>5</v>
      </c>
      <c r="J130" s="554">
        <v>70</v>
      </c>
      <c r="K130" s="554">
        <v>-0.1</v>
      </c>
      <c r="L130" s="555" t="s">
        <v>180</v>
      </c>
      <c r="M130" s="550" t="s">
        <v>180</v>
      </c>
      <c r="N130" s="551">
        <f t="shared" si="34"/>
        <v>0</v>
      </c>
      <c r="P130" s="457">
        <v>5</v>
      </c>
      <c r="Q130" s="554">
        <v>1000</v>
      </c>
      <c r="R130" s="555">
        <v>-0.8</v>
      </c>
      <c r="S130" s="555" t="s">
        <v>180</v>
      </c>
      <c r="T130" s="550" t="s">
        <v>180</v>
      </c>
      <c r="U130" s="551">
        <f t="shared" si="35"/>
        <v>0</v>
      </c>
    </row>
    <row r="131" spans="1:24" x14ac:dyDescent="0.25">
      <c r="A131" s="1034"/>
      <c r="B131" s="457">
        <v>6</v>
      </c>
      <c r="C131" s="554">
        <v>37</v>
      </c>
      <c r="D131" s="554">
        <v>-0.3</v>
      </c>
      <c r="E131" s="555" t="s">
        <v>180</v>
      </c>
      <c r="F131" s="550" t="s">
        <v>180</v>
      </c>
      <c r="G131" s="551">
        <f t="shared" si="33"/>
        <v>0</v>
      </c>
      <c r="I131" s="457">
        <v>6</v>
      </c>
      <c r="J131" s="554">
        <v>80</v>
      </c>
      <c r="K131" s="554">
        <v>-0.5</v>
      </c>
      <c r="L131" s="555" t="s">
        <v>180</v>
      </c>
      <c r="M131" s="550" t="s">
        <v>180</v>
      </c>
      <c r="N131" s="551">
        <f t="shared" si="34"/>
        <v>0</v>
      </c>
      <c r="P131" s="457">
        <v>6</v>
      </c>
      <c r="Q131" s="554">
        <v>1005</v>
      </c>
      <c r="R131" s="555">
        <v>-0.8</v>
      </c>
      <c r="S131" s="555" t="s">
        <v>180</v>
      </c>
      <c r="T131" s="550" t="s">
        <v>180</v>
      </c>
      <c r="U131" s="551">
        <f t="shared" si="35"/>
        <v>0</v>
      </c>
    </row>
    <row r="132" spans="1:24" x14ac:dyDescent="0.25">
      <c r="A132" s="1034"/>
      <c r="B132" s="457">
        <v>7</v>
      </c>
      <c r="C132" s="554">
        <v>40</v>
      </c>
      <c r="D132" s="554">
        <v>-0.4</v>
      </c>
      <c r="E132" s="555" t="s">
        <v>180</v>
      </c>
      <c r="F132" s="550" t="s">
        <v>180</v>
      </c>
      <c r="G132" s="551">
        <f t="shared" si="33"/>
        <v>0</v>
      </c>
      <c r="I132" s="457">
        <v>7</v>
      </c>
      <c r="J132" s="554">
        <v>90</v>
      </c>
      <c r="K132" s="554">
        <v>-0.9</v>
      </c>
      <c r="L132" s="555" t="s">
        <v>180</v>
      </c>
      <c r="M132" s="550" t="s">
        <v>180</v>
      </c>
      <c r="N132" s="551">
        <f t="shared" si="34"/>
        <v>0</v>
      </c>
      <c r="P132" s="457">
        <v>7</v>
      </c>
      <c r="Q132" s="554">
        <v>1020</v>
      </c>
      <c r="R132" s="555">
        <v>9.9999999999999995E-7</v>
      </c>
      <c r="S132" s="555" t="s">
        <v>180</v>
      </c>
      <c r="T132" s="550" t="s">
        <v>180</v>
      </c>
      <c r="U132" s="551">
        <f t="shared" si="35"/>
        <v>0</v>
      </c>
    </row>
    <row r="133" spans="1:24" ht="13" thickBot="1" x14ac:dyDescent="0.3">
      <c r="A133" s="558"/>
      <c r="C133" s="469"/>
      <c r="D133" s="469"/>
      <c r="E133" s="562"/>
      <c r="F133" s="469"/>
      <c r="I133" s="469"/>
      <c r="J133" s="469"/>
      <c r="K133" s="562"/>
      <c r="L133" s="469"/>
      <c r="O133" s="469"/>
      <c r="P133" s="562"/>
      <c r="Q133" s="562"/>
      <c r="R133" s="469"/>
    </row>
    <row r="134" spans="1:24" x14ac:dyDescent="0.25">
      <c r="A134" s="1034">
        <v>13</v>
      </c>
      <c r="B134" s="1025" t="s">
        <v>192</v>
      </c>
      <c r="C134" s="1025"/>
      <c r="D134" s="1025"/>
      <c r="E134" s="1025"/>
      <c r="F134" s="1025"/>
      <c r="G134" s="1025"/>
      <c r="I134" s="1025" t="str">
        <f>B134</f>
        <v>KOREKSI EXTECH A.100605</v>
      </c>
      <c r="J134" s="1025"/>
      <c r="K134" s="1025"/>
      <c r="L134" s="1025"/>
      <c r="M134" s="1025"/>
      <c r="N134" s="1025"/>
      <c r="P134" s="1025" t="str">
        <f>I134</f>
        <v>KOREKSI EXTECH A.100605</v>
      </c>
      <c r="Q134" s="1025"/>
      <c r="R134" s="1025"/>
      <c r="S134" s="1025"/>
      <c r="T134" s="1025"/>
      <c r="U134" s="1025"/>
      <c r="W134" s="1020" t="s">
        <v>173</v>
      </c>
      <c r="X134" s="1021"/>
    </row>
    <row r="135" spans="1:24" ht="13" x14ac:dyDescent="0.25">
      <c r="A135" s="1034"/>
      <c r="B135" s="1022" t="s">
        <v>174</v>
      </c>
      <c r="C135" s="1022"/>
      <c r="D135" s="1022" t="s">
        <v>175</v>
      </c>
      <c r="E135" s="1022"/>
      <c r="F135" s="1022"/>
      <c r="G135" s="1022" t="s">
        <v>176</v>
      </c>
      <c r="I135" s="1022" t="s">
        <v>177</v>
      </c>
      <c r="J135" s="1022"/>
      <c r="K135" s="1022" t="s">
        <v>175</v>
      </c>
      <c r="L135" s="1022"/>
      <c r="M135" s="1022"/>
      <c r="N135" s="1022" t="s">
        <v>176</v>
      </c>
      <c r="P135" s="1022" t="s">
        <v>178</v>
      </c>
      <c r="Q135" s="1022"/>
      <c r="R135" s="1022" t="s">
        <v>175</v>
      </c>
      <c r="S135" s="1022"/>
      <c r="T135" s="1022"/>
      <c r="U135" s="1022" t="s">
        <v>176</v>
      </c>
      <c r="W135" s="544" t="s">
        <v>174</v>
      </c>
      <c r="X135" s="545">
        <v>0.5</v>
      </c>
    </row>
    <row r="136" spans="1:24" ht="14.5" x14ac:dyDescent="0.25">
      <c r="A136" s="1034"/>
      <c r="B136" s="1024" t="s">
        <v>388</v>
      </c>
      <c r="C136" s="1024"/>
      <c r="D136" s="547">
        <v>2022</v>
      </c>
      <c r="E136" s="547">
        <v>2020</v>
      </c>
      <c r="F136" s="548" t="s">
        <v>180</v>
      </c>
      <c r="G136" s="1022"/>
      <c r="I136" s="1023" t="s">
        <v>19</v>
      </c>
      <c r="J136" s="1024"/>
      <c r="K136" s="547">
        <f>D136</f>
        <v>2022</v>
      </c>
      <c r="L136" s="547">
        <f>E136</f>
        <v>2020</v>
      </c>
      <c r="M136" s="547" t="str">
        <f>F136</f>
        <v>-</v>
      </c>
      <c r="N136" s="1022"/>
      <c r="P136" s="1023" t="s">
        <v>179</v>
      </c>
      <c r="Q136" s="1024"/>
      <c r="R136" s="547">
        <f>K136</f>
        <v>2022</v>
      </c>
      <c r="S136" s="547">
        <f>L136</f>
        <v>2020</v>
      </c>
      <c r="T136" s="547" t="str">
        <f>M136</f>
        <v>-</v>
      </c>
      <c r="U136" s="1022"/>
      <c r="W136" s="544" t="s">
        <v>19</v>
      </c>
      <c r="X136" s="545">
        <v>2.2999999999999998</v>
      </c>
    </row>
    <row r="137" spans="1:24" ht="13" thickBot="1" x14ac:dyDescent="0.3">
      <c r="A137" s="1034"/>
      <c r="B137" s="457">
        <v>1</v>
      </c>
      <c r="C137" s="549">
        <v>15</v>
      </c>
      <c r="D137" s="549">
        <v>0.5</v>
      </c>
      <c r="E137" s="549">
        <v>-0.7</v>
      </c>
      <c r="F137" s="550" t="s">
        <v>180</v>
      </c>
      <c r="G137" s="551">
        <f>0.5*(MAX(D137:F137)-MIN(D137:F137))</f>
        <v>0.6</v>
      </c>
      <c r="I137" s="457">
        <v>1</v>
      </c>
      <c r="J137" s="549">
        <v>30</v>
      </c>
      <c r="K137" s="549">
        <v>-2.2000000000000002</v>
      </c>
      <c r="L137" s="549">
        <v>-1.4</v>
      </c>
      <c r="M137" s="550" t="s">
        <v>180</v>
      </c>
      <c r="N137" s="551">
        <f>0.5*(MAX(K137:M137)-MIN(K137:M137))</f>
        <v>0.40000000000000013</v>
      </c>
      <c r="P137" s="457">
        <v>1</v>
      </c>
      <c r="Q137" s="549">
        <v>985</v>
      </c>
      <c r="R137" s="550">
        <v>3.8</v>
      </c>
      <c r="S137" s="550">
        <v>0.9</v>
      </c>
      <c r="T137" s="550" t="s">
        <v>180</v>
      </c>
      <c r="U137" s="551">
        <f>0.5*(MAX(R137:T137)-MIN(R137:T137))</f>
        <v>1.45</v>
      </c>
      <c r="W137" s="552" t="s">
        <v>179</v>
      </c>
      <c r="X137" s="553">
        <v>2.4</v>
      </c>
    </row>
    <row r="138" spans="1:24" x14ac:dyDescent="0.25">
      <c r="A138" s="1034"/>
      <c r="B138" s="457">
        <v>2</v>
      </c>
      <c r="C138" s="549">
        <v>20</v>
      </c>
      <c r="D138" s="549">
        <v>0.2</v>
      </c>
      <c r="E138" s="549">
        <v>-0.4</v>
      </c>
      <c r="F138" s="550" t="s">
        <v>180</v>
      </c>
      <c r="G138" s="551">
        <f t="shared" ref="G138:G143" si="36">0.5*(MAX(D138:F138)-MIN(D138:F138))</f>
        <v>0.30000000000000004</v>
      </c>
      <c r="I138" s="457">
        <v>2</v>
      </c>
      <c r="J138" s="549">
        <v>40</v>
      </c>
      <c r="K138" s="549">
        <v>-2</v>
      </c>
      <c r="L138" s="549">
        <v>-1.3</v>
      </c>
      <c r="M138" s="550" t="s">
        <v>180</v>
      </c>
      <c r="N138" s="551">
        <f t="shared" ref="N138:N143" si="37">0.5*(MAX(K138:M138)-MIN(K138:M138))</f>
        <v>0.35</v>
      </c>
      <c r="P138" s="457">
        <v>2</v>
      </c>
      <c r="Q138" s="549">
        <v>990</v>
      </c>
      <c r="R138" s="550">
        <v>3.8</v>
      </c>
      <c r="S138" s="550">
        <v>1</v>
      </c>
      <c r="T138" s="550" t="s">
        <v>180</v>
      </c>
      <c r="U138" s="551">
        <f t="shared" ref="U138:U143" si="38">0.5*(MAX(R138:T138)-MIN(R138:T138))</f>
        <v>1.4</v>
      </c>
    </row>
    <row r="139" spans="1:24" x14ac:dyDescent="0.25">
      <c r="A139" s="1034"/>
      <c r="B139" s="457">
        <v>3</v>
      </c>
      <c r="C139" s="549">
        <v>25</v>
      </c>
      <c r="D139" s="549">
        <v>0.1</v>
      </c>
      <c r="E139" s="549">
        <v>-0.2</v>
      </c>
      <c r="F139" s="550" t="s">
        <v>180</v>
      </c>
      <c r="G139" s="551">
        <f t="shared" si="36"/>
        <v>0.15000000000000002</v>
      </c>
      <c r="I139" s="457">
        <v>3</v>
      </c>
      <c r="J139" s="549">
        <v>50</v>
      </c>
      <c r="K139" s="549">
        <v>-1.8</v>
      </c>
      <c r="L139" s="549">
        <v>-1.3</v>
      </c>
      <c r="M139" s="550" t="s">
        <v>180</v>
      </c>
      <c r="N139" s="551">
        <f t="shared" si="37"/>
        <v>0.25</v>
      </c>
      <c r="P139" s="457">
        <v>3</v>
      </c>
      <c r="Q139" s="554">
        <v>995</v>
      </c>
      <c r="R139" s="555">
        <v>3.7</v>
      </c>
      <c r="S139" s="555">
        <v>1</v>
      </c>
      <c r="T139" s="550" t="s">
        <v>180</v>
      </c>
      <c r="U139" s="551">
        <f t="shared" si="38"/>
        <v>1.35</v>
      </c>
    </row>
    <row r="140" spans="1:24" x14ac:dyDescent="0.25">
      <c r="A140" s="1034"/>
      <c r="B140" s="457">
        <v>4</v>
      </c>
      <c r="C140" s="554">
        <v>30</v>
      </c>
      <c r="D140" s="554">
        <v>-0.1</v>
      </c>
      <c r="E140" s="554">
        <v>0.1</v>
      </c>
      <c r="F140" s="550" t="s">
        <v>180</v>
      </c>
      <c r="G140" s="551">
        <f t="shared" si="36"/>
        <v>0.1</v>
      </c>
      <c r="I140" s="457">
        <v>4</v>
      </c>
      <c r="J140" s="554">
        <v>60</v>
      </c>
      <c r="K140" s="554">
        <v>-1.6</v>
      </c>
      <c r="L140" s="554">
        <v>-1.5</v>
      </c>
      <c r="M140" s="550" t="s">
        <v>180</v>
      </c>
      <c r="N140" s="551">
        <f t="shared" si="37"/>
        <v>5.0000000000000044E-2</v>
      </c>
      <c r="P140" s="457">
        <v>4</v>
      </c>
      <c r="Q140" s="554">
        <v>1000</v>
      </c>
      <c r="R140" s="555">
        <v>3.7</v>
      </c>
      <c r="S140" s="555">
        <v>1.1000000000000001</v>
      </c>
      <c r="T140" s="550" t="s">
        <v>180</v>
      </c>
      <c r="U140" s="551">
        <f t="shared" si="38"/>
        <v>1.3</v>
      </c>
    </row>
    <row r="141" spans="1:24" x14ac:dyDescent="0.25">
      <c r="A141" s="1034"/>
      <c r="B141" s="457">
        <v>5</v>
      </c>
      <c r="C141" s="554">
        <v>35</v>
      </c>
      <c r="D141" s="554">
        <v>-0.2</v>
      </c>
      <c r="E141" s="554">
        <v>0.3</v>
      </c>
      <c r="F141" s="550" t="s">
        <v>180</v>
      </c>
      <c r="G141" s="551">
        <f t="shared" si="36"/>
        <v>0.25</v>
      </c>
      <c r="I141" s="457">
        <v>5</v>
      </c>
      <c r="J141" s="554">
        <v>70</v>
      </c>
      <c r="K141" s="554">
        <v>-1.4</v>
      </c>
      <c r="L141" s="554">
        <v>-1.9</v>
      </c>
      <c r="M141" s="550" t="s">
        <v>180</v>
      </c>
      <c r="N141" s="551">
        <f t="shared" si="37"/>
        <v>0.25</v>
      </c>
      <c r="P141" s="457">
        <v>5</v>
      </c>
      <c r="Q141" s="554">
        <v>1005</v>
      </c>
      <c r="R141" s="555">
        <v>3.6</v>
      </c>
      <c r="S141" s="555">
        <v>1.1000000000000001</v>
      </c>
      <c r="T141" s="550" t="s">
        <v>180</v>
      </c>
      <c r="U141" s="551">
        <f t="shared" si="38"/>
        <v>1.25</v>
      </c>
    </row>
    <row r="142" spans="1:24" x14ac:dyDescent="0.25">
      <c r="A142" s="1034"/>
      <c r="B142" s="457">
        <v>6</v>
      </c>
      <c r="C142" s="554">
        <v>37</v>
      </c>
      <c r="D142" s="554">
        <v>-0.2</v>
      </c>
      <c r="E142" s="554">
        <v>0.4</v>
      </c>
      <c r="F142" s="550" t="s">
        <v>180</v>
      </c>
      <c r="G142" s="551">
        <f t="shared" si="36"/>
        <v>0.30000000000000004</v>
      </c>
      <c r="I142" s="457">
        <v>6</v>
      </c>
      <c r="J142" s="554">
        <v>80</v>
      </c>
      <c r="K142" s="554">
        <v>-1.2</v>
      </c>
      <c r="L142" s="554">
        <v>-2.5</v>
      </c>
      <c r="M142" s="550" t="s">
        <v>180</v>
      </c>
      <c r="N142" s="551">
        <f t="shared" si="37"/>
        <v>0.65</v>
      </c>
      <c r="P142" s="457">
        <v>6</v>
      </c>
      <c r="Q142" s="554">
        <v>1010</v>
      </c>
      <c r="R142" s="555">
        <v>3.5</v>
      </c>
      <c r="S142" s="555">
        <v>1.1000000000000001</v>
      </c>
      <c r="T142" s="550" t="s">
        <v>180</v>
      </c>
      <c r="U142" s="551">
        <f t="shared" si="38"/>
        <v>1.2</v>
      </c>
    </row>
    <row r="143" spans="1:24" x14ac:dyDescent="0.25">
      <c r="A143" s="1034"/>
      <c r="B143" s="457">
        <v>7</v>
      </c>
      <c r="C143" s="554">
        <v>40</v>
      </c>
      <c r="D143" s="554">
        <v>-0.2</v>
      </c>
      <c r="E143" s="554">
        <v>0.5</v>
      </c>
      <c r="F143" s="550" t="s">
        <v>180</v>
      </c>
      <c r="G143" s="551">
        <f t="shared" si="36"/>
        <v>0.35</v>
      </c>
      <c r="I143" s="457">
        <v>7</v>
      </c>
      <c r="J143" s="554">
        <v>90</v>
      </c>
      <c r="K143" s="554">
        <v>-1</v>
      </c>
      <c r="L143" s="554">
        <v>-3.2</v>
      </c>
      <c r="M143" s="550" t="s">
        <v>180</v>
      </c>
      <c r="N143" s="551">
        <f t="shared" si="37"/>
        <v>1.1000000000000001</v>
      </c>
      <c r="P143" s="457">
        <v>7</v>
      </c>
      <c r="Q143" s="554">
        <v>1020</v>
      </c>
      <c r="R143" s="555">
        <v>9.9999999999999995E-7</v>
      </c>
      <c r="S143" s="555">
        <v>9.9999999999999995E-7</v>
      </c>
      <c r="T143" s="550" t="s">
        <v>180</v>
      </c>
      <c r="U143" s="551">
        <f t="shared" si="38"/>
        <v>0</v>
      </c>
    </row>
    <row r="144" spans="1:24" ht="13" thickBot="1" x14ac:dyDescent="0.3">
      <c r="A144" s="558"/>
      <c r="C144" s="469"/>
      <c r="D144" s="469"/>
      <c r="E144" s="562"/>
      <c r="F144" s="469"/>
      <c r="J144" s="469"/>
      <c r="K144" s="469"/>
      <c r="L144" s="562"/>
      <c r="M144" s="469"/>
      <c r="Q144" s="469"/>
      <c r="R144" s="562"/>
      <c r="S144" s="562"/>
      <c r="T144" s="469"/>
    </row>
    <row r="145" spans="1:24" x14ac:dyDescent="0.25">
      <c r="A145" s="1034">
        <v>14</v>
      </c>
      <c r="B145" s="1025" t="s">
        <v>193</v>
      </c>
      <c r="C145" s="1025"/>
      <c r="D145" s="1025"/>
      <c r="E145" s="1025"/>
      <c r="F145" s="1025"/>
      <c r="G145" s="1025"/>
      <c r="I145" s="1025" t="str">
        <f>B145</f>
        <v>KOREKSI EXTECH A.100609</v>
      </c>
      <c r="J145" s="1025"/>
      <c r="K145" s="1025"/>
      <c r="L145" s="1025"/>
      <c r="M145" s="1025"/>
      <c r="N145" s="1025"/>
      <c r="P145" s="1025" t="str">
        <f>I145</f>
        <v>KOREKSI EXTECH A.100609</v>
      </c>
      <c r="Q145" s="1025"/>
      <c r="R145" s="1025"/>
      <c r="S145" s="1025"/>
      <c r="T145" s="1025"/>
      <c r="U145" s="1025"/>
      <c r="W145" s="1020" t="s">
        <v>173</v>
      </c>
      <c r="X145" s="1021"/>
    </row>
    <row r="146" spans="1:24" ht="13" x14ac:dyDescent="0.25">
      <c r="A146" s="1034"/>
      <c r="B146" s="1022" t="s">
        <v>174</v>
      </c>
      <c r="C146" s="1022"/>
      <c r="D146" s="1022" t="s">
        <v>175</v>
      </c>
      <c r="E146" s="1022"/>
      <c r="F146" s="1022"/>
      <c r="G146" s="1022" t="s">
        <v>176</v>
      </c>
      <c r="I146" s="1022" t="s">
        <v>177</v>
      </c>
      <c r="J146" s="1022"/>
      <c r="K146" s="1022" t="s">
        <v>175</v>
      </c>
      <c r="L146" s="1022"/>
      <c r="M146" s="1022"/>
      <c r="N146" s="1022" t="s">
        <v>176</v>
      </c>
      <c r="P146" s="1022" t="s">
        <v>178</v>
      </c>
      <c r="Q146" s="1022"/>
      <c r="R146" s="1022" t="s">
        <v>175</v>
      </c>
      <c r="S146" s="1022"/>
      <c r="T146" s="1022"/>
      <c r="U146" s="1022" t="s">
        <v>176</v>
      </c>
      <c r="W146" s="544" t="s">
        <v>174</v>
      </c>
      <c r="X146" s="545">
        <v>0.5</v>
      </c>
    </row>
    <row r="147" spans="1:24" ht="14.5" x14ac:dyDescent="0.25">
      <c r="A147" s="1034"/>
      <c r="B147" s="1024" t="s">
        <v>388</v>
      </c>
      <c r="C147" s="1024"/>
      <c r="D147" s="547">
        <v>2022</v>
      </c>
      <c r="E147" s="547">
        <v>2020</v>
      </c>
      <c r="F147" s="548" t="s">
        <v>180</v>
      </c>
      <c r="G147" s="1022"/>
      <c r="I147" s="1023" t="s">
        <v>19</v>
      </c>
      <c r="J147" s="1024"/>
      <c r="K147" s="547">
        <f>D147</f>
        <v>2022</v>
      </c>
      <c r="L147" s="547">
        <f>E147</f>
        <v>2020</v>
      </c>
      <c r="M147" s="547" t="str">
        <f>F147</f>
        <v>-</v>
      </c>
      <c r="N147" s="1022"/>
      <c r="P147" s="1023" t="s">
        <v>179</v>
      </c>
      <c r="Q147" s="1024"/>
      <c r="R147" s="547">
        <f>K147</f>
        <v>2022</v>
      </c>
      <c r="S147" s="547">
        <f>L147</f>
        <v>2020</v>
      </c>
      <c r="T147" s="547" t="str">
        <f>M147</f>
        <v>-</v>
      </c>
      <c r="U147" s="1022"/>
      <c r="W147" s="544" t="s">
        <v>19</v>
      </c>
      <c r="X147" s="545">
        <v>2.7</v>
      </c>
    </row>
    <row r="148" spans="1:24" ht="13" thickBot="1" x14ac:dyDescent="0.3">
      <c r="A148" s="1034"/>
      <c r="B148" s="457">
        <v>1</v>
      </c>
      <c r="C148" s="549">
        <v>15</v>
      </c>
      <c r="D148" s="549">
        <v>0.5</v>
      </c>
      <c r="E148" s="549">
        <v>-0.2</v>
      </c>
      <c r="F148" s="550" t="s">
        <v>180</v>
      </c>
      <c r="G148" s="551">
        <f>0.5*(MAX(D148:F148)-MIN(D148:F148))</f>
        <v>0.35</v>
      </c>
      <c r="I148" s="457">
        <v>1</v>
      </c>
      <c r="J148" s="549">
        <v>30</v>
      </c>
      <c r="K148" s="549">
        <v>-0.8</v>
      </c>
      <c r="L148" s="549">
        <v>0.6</v>
      </c>
      <c r="M148" s="550" t="s">
        <v>180</v>
      </c>
      <c r="N148" s="551">
        <f>0.5*(MAX(K148:M148)-MIN(K148:M148))</f>
        <v>0.7</v>
      </c>
      <c r="P148" s="457">
        <v>1</v>
      </c>
      <c r="Q148" s="549">
        <v>985</v>
      </c>
      <c r="R148" s="550">
        <v>3.9</v>
      </c>
      <c r="S148" s="550">
        <v>0.9</v>
      </c>
      <c r="T148" s="550" t="s">
        <v>180</v>
      </c>
      <c r="U148" s="551">
        <f>0.5*(MAX(R148:T148)-MIN(R148:T148))</f>
        <v>1.5</v>
      </c>
      <c r="W148" s="552" t="s">
        <v>179</v>
      </c>
      <c r="X148" s="553">
        <v>2.4</v>
      </c>
    </row>
    <row r="149" spans="1:24" x14ac:dyDescent="0.25">
      <c r="A149" s="1034"/>
      <c r="B149" s="457">
        <v>2</v>
      </c>
      <c r="C149" s="549">
        <v>20</v>
      </c>
      <c r="D149" s="549">
        <v>0.2</v>
      </c>
      <c r="E149" s="549">
        <v>-0.1</v>
      </c>
      <c r="F149" s="550" t="s">
        <v>180</v>
      </c>
      <c r="G149" s="551">
        <f t="shared" ref="G149:G154" si="39">0.5*(MAX(D149:F149)-MIN(D149:F149))</f>
        <v>0.15000000000000002</v>
      </c>
      <c r="I149" s="457">
        <v>2</v>
      </c>
      <c r="J149" s="549">
        <v>40</v>
      </c>
      <c r="K149" s="549">
        <v>-0.4</v>
      </c>
      <c r="L149" s="549">
        <v>0.3</v>
      </c>
      <c r="M149" s="550" t="s">
        <v>180</v>
      </c>
      <c r="N149" s="551">
        <f t="shared" ref="N149:N154" si="40">0.5*(MAX(K149:M149)-MIN(K149:M149))</f>
        <v>0.35</v>
      </c>
      <c r="P149" s="457">
        <v>2</v>
      </c>
      <c r="Q149" s="549">
        <v>990</v>
      </c>
      <c r="R149" s="550">
        <v>3.9</v>
      </c>
      <c r="S149" s="550">
        <v>1</v>
      </c>
      <c r="T149" s="550" t="s">
        <v>180</v>
      </c>
      <c r="U149" s="551">
        <f t="shared" ref="U149:U154" si="41">0.5*(MAX(R149:T149)-MIN(R149:T149))</f>
        <v>1.45</v>
      </c>
    </row>
    <row r="150" spans="1:24" x14ac:dyDescent="0.25">
      <c r="A150" s="1034"/>
      <c r="B150" s="457">
        <v>3</v>
      </c>
      <c r="C150" s="549">
        <v>25</v>
      </c>
      <c r="D150" s="549">
        <v>-0.1</v>
      </c>
      <c r="E150" s="549">
        <v>-0.1</v>
      </c>
      <c r="F150" s="550" t="s">
        <v>180</v>
      </c>
      <c r="G150" s="551">
        <f t="shared" si="39"/>
        <v>0</v>
      </c>
      <c r="I150" s="457">
        <v>3</v>
      </c>
      <c r="J150" s="549">
        <v>50</v>
      </c>
      <c r="K150" s="549">
        <v>9.9999999999999995E-7</v>
      </c>
      <c r="L150" s="549">
        <v>-0.2</v>
      </c>
      <c r="M150" s="550" t="s">
        <v>180</v>
      </c>
      <c r="N150" s="551">
        <f t="shared" si="40"/>
        <v>0.10000050000000001</v>
      </c>
      <c r="P150" s="457">
        <v>3</v>
      </c>
      <c r="Q150" s="554">
        <v>995</v>
      </c>
      <c r="R150" s="555">
        <v>3.8</v>
      </c>
      <c r="S150" s="555">
        <v>1</v>
      </c>
      <c r="T150" s="550" t="s">
        <v>180</v>
      </c>
      <c r="U150" s="551">
        <f t="shared" si="41"/>
        <v>1.4</v>
      </c>
    </row>
    <row r="151" spans="1:24" x14ac:dyDescent="0.25">
      <c r="A151" s="1034"/>
      <c r="B151" s="457">
        <v>4</v>
      </c>
      <c r="C151" s="554">
        <v>30</v>
      </c>
      <c r="D151" s="554">
        <v>-0.4</v>
      </c>
      <c r="E151" s="554">
        <v>-0.3</v>
      </c>
      <c r="F151" s="550" t="s">
        <v>180</v>
      </c>
      <c r="G151" s="551">
        <f t="shared" si="39"/>
        <v>5.0000000000000017E-2</v>
      </c>
      <c r="I151" s="457">
        <v>4</v>
      </c>
      <c r="J151" s="554">
        <v>60</v>
      </c>
      <c r="K151" s="554">
        <v>0.3</v>
      </c>
      <c r="L151" s="554">
        <v>-0.6</v>
      </c>
      <c r="M151" s="550" t="s">
        <v>180</v>
      </c>
      <c r="N151" s="551">
        <f t="shared" si="40"/>
        <v>0.44999999999999996</v>
      </c>
      <c r="P151" s="457">
        <v>4</v>
      </c>
      <c r="Q151" s="554">
        <v>1000</v>
      </c>
      <c r="R151" s="555">
        <v>3.8</v>
      </c>
      <c r="S151" s="555">
        <v>1.1000000000000001</v>
      </c>
      <c r="T151" s="550" t="s">
        <v>180</v>
      </c>
      <c r="U151" s="551">
        <f t="shared" si="41"/>
        <v>1.3499999999999999</v>
      </c>
    </row>
    <row r="152" spans="1:24" x14ac:dyDescent="0.25">
      <c r="A152" s="1034"/>
      <c r="B152" s="457">
        <v>5</v>
      </c>
      <c r="C152" s="554">
        <v>35</v>
      </c>
      <c r="D152" s="554">
        <v>-0.6</v>
      </c>
      <c r="E152" s="554">
        <v>-0.6</v>
      </c>
      <c r="F152" s="550" t="s">
        <v>180</v>
      </c>
      <c r="G152" s="551">
        <f t="shared" si="39"/>
        <v>0</v>
      </c>
      <c r="I152" s="457">
        <v>5</v>
      </c>
      <c r="J152" s="554">
        <v>70</v>
      </c>
      <c r="K152" s="554">
        <v>0.7</v>
      </c>
      <c r="L152" s="554">
        <v>-0.8</v>
      </c>
      <c r="M152" s="550" t="s">
        <v>180</v>
      </c>
      <c r="N152" s="551">
        <f t="shared" si="40"/>
        <v>0.75</v>
      </c>
      <c r="P152" s="457">
        <v>5</v>
      </c>
      <c r="Q152" s="554">
        <v>1005</v>
      </c>
      <c r="R152" s="555">
        <v>3.8</v>
      </c>
      <c r="S152" s="555">
        <v>1.1000000000000001</v>
      </c>
      <c r="T152" s="550" t="s">
        <v>180</v>
      </c>
      <c r="U152" s="551">
        <f t="shared" si="41"/>
        <v>1.3499999999999999</v>
      </c>
    </row>
    <row r="153" spans="1:24" x14ac:dyDescent="0.25">
      <c r="A153" s="1034"/>
      <c r="B153" s="457">
        <v>6</v>
      </c>
      <c r="C153" s="554">
        <v>37</v>
      </c>
      <c r="D153" s="554">
        <v>-0.7</v>
      </c>
      <c r="E153" s="554">
        <v>-0.8</v>
      </c>
      <c r="F153" s="550" t="s">
        <v>180</v>
      </c>
      <c r="G153" s="551">
        <f t="shared" si="39"/>
        <v>5.0000000000000044E-2</v>
      </c>
      <c r="I153" s="457">
        <v>6</v>
      </c>
      <c r="J153" s="554">
        <v>80</v>
      </c>
      <c r="K153" s="554">
        <v>1.1000000000000001</v>
      </c>
      <c r="L153" s="554">
        <v>-0.9</v>
      </c>
      <c r="M153" s="550" t="s">
        <v>180</v>
      </c>
      <c r="N153" s="551">
        <f t="shared" si="40"/>
        <v>1</v>
      </c>
      <c r="P153" s="457">
        <v>6</v>
      </c>
      <c r="Q153" s="554">
        <v>1010</v>
      </c>
      <c r="R153" s="555">
        <v>3.7</v>
      </c>
      <c r="S153" s="555">
        <v>1.1000000000000001</v>
      </c>
      <c r="T153" s="550" t="s">
        <v>180</v>
      </c>
      <c r="U153" s="551">
        <f t="shared" si="41"/>
        <v>1.3</v>
      </c>
    </row>
    <row r="154" spans="1:24" x14ac:dyDescent="0.25">
      <c r="A154" s="1034"/>
      <c r="B154" s="457">
        <v>7</v>
      </c>
      <c r="C154" s="554">
        <v>40</v>
      </c>
      <c r="D154" s="554">
        <v>-0.8</v>
      </c>
      <c r="E154" s="554">
        <v>-1.1000000000000001</v>
      </c>
      <c r="F154" s="550" t="s">
        <v>180</v>
      </c>
      <c r="G154" s="551">
        <f t="shared" si="39"/>
        <v>0.15000000000000002</v>
      </c>
      <c r="I154" s="457">
        <v>7</v>
      </c>
      <c r="J154" s="554">
        <v>90</v>
      </c>
      <c r="K154" s="554">
        <v>1.5</v>
      </c>
      <c r="L154" s="554">
        <v>-0.8</v>
      </c>
      <c r="M154" s="550" t="s">
        <v>180</v>
      </c>
      <c r="N154" s="551">
        <f t="shared" si="40"/>
        <v>1.1499999999999999</v>
      </c>
      <c r="P154" s="457">
        <v>7</v>
      </c>
      <c r="Q154" s="554">
        <v>1020</v>
      </c>
      <c r="R154" s="555">
        <v>9.9999999999999995E-7</v>
      </c>
      <c r="S154" s="555">
        <v>9.9999999999999995E-7</v>
      </c>
      <c r="T154" s="550" t="s">
        <v>180</v>
      </c>
      <c r="U154" s="551">
        <f t="shared" si="41"/>
        <v>0</v>
      </c>
    </row>
    <row r="155" spans="1:24" ht="13" thickBot="1" x14ac:dyDescent="0.3">
      <c r="A155" s="558"/>
      <c r="C155" s="469"/>
      <c r="D155" s="469"/>
      <c r="E155" s="562"/>
      <c r="F155" s="469"/>
      <c r="J155" s="469"/>
      <c r="K155" s="469"/>
      <c r="L155" s="562"/>
      <c r="M155" s="469"/>
      <c r="Q155" s="469"/>
      <c r="R155" s="562"/>
      <c r="S155" s="562"/>
      <c r="T155" s="469"/>
    </row>
    <row r="156" spans="1:24" x14ac:dyDescent="0.25">
      <c r="A156" s="1034">
        <v>15</v>
      </c>
      <c r="B156" s="1025" t="s">
        <v>194</v>
      </c>
      <c r="C156" s="1025"/>
      <c r="D156" s="1025"/>
      <c r="E156" s="1025"/>
      <c r="F156" s="1025"/>
      <c r="G156" s="1025"/>
      <c r="I156" s="1025" t="str">
        <f>B156</f>
        <v>KOREKSI EXTECH A.100611</v>
      </c>
      <c r="J156" s="1025"/>
      <c r="K156" s="1025"/>
      <c r="L156" s="1025"/>
      <c r="M156" s="1025"/>
      <c r="N156" s="1025"/>
      <c r="P156" s="1025" t="str">
        <f>I156</f>
        <v>KOREKSI EXTECH A.100611</v>
      </c>
      <c r="Q156" s="1025"/>
      <c r="R156" s="1025"/>
      <c r="S156" s="1025"/>
      <c r="T156" s="1025"/>
      <c r="U156" s="1025"/>
      <c r="W156" s="1020" t="s">
        <v>173</v>
      </c>
      <c r="X156" s="1021"/>
    </row>
    <row r="157" spans="1:24" ht="13" x14ac:dyDescent="0.25">
      <c r="A157" s="1034"/>
      <c r="B157" s="1022" t="s">
        <v>174</v>
      </c>
      <c r="C157" s="1022"/>
      <c r="D157" s="1022" t="s">
        <v>175</v>
      </c>
      <c r="E157" s="1022"/>
      <c r="F157" s="1022"/>
      <c r="G157" s="1022" t="s">
        <v>176</v>
      </c>
      <c r="I157" s="1022" t="s">
        <v>177</v>
      </c>
      <c r="J157" s="1022"/>
      <c r="K157" s="1022" t="s">
        <v>175</v>
      </c>
      <c r="L157" s="1022"/>
      <c r="M157" s="1022"/>
      <c r="N157" s="1022" t="s">
        <v>176</v>
      </c>
      <c r="P157" s="1022" t="s">
        <v>178</v>
      </c>
      <c r="Q157" s="1022"/>
      <c r="R157" s="1022" t="s">
        <v>175</v>
      </c>
      <c r="S157" s="1022"/>
      <c r="T157" s="1022"/>
      <c r="U157" s="1022" t="s">
        <v>176</v>
      </c>
      <c r="W157" s="544" t="s">
        <v>174</v>
      </c>
      <c r="X157" s="545">
        <v>0.5</v>
      </c>
    </row>
    <row r="158" spans="1:24" ht="14.5" x14ac:dyDescent="0.25">
      <c r="A158" s="1034"/>
      <c r="B158" s="1024" t="s">
        <v>388</v>
      </c>
      <c r="C158" s="1024"/>
      <c r="D158" s="547">
        <v>2022</v>
      </c>
      <c r="E158" s="547">
        <v>2020</v>
      </c>
      <c r="F158" s="548" t="s">
        <v>180</v>
      </c>
      <c r="G158" s="1022"/>
      <c r="I158" s="1023" t="s">
        <v>19</v>
      </c>
      <c r="J158" s="1024"/>
      <c r="K158" s="547">
        <f>D158</f>
        <v>2022</v>
      </c>
      <c r="L158" s="547">
        <f>E158</f>
        <v>2020</v>
      </c>
      <c r="M158" s="547" t="str">
        <f>F158</f>
        <v>-</v>
      </c>
      <c r="N158" s="1022"/>
      <c r="P158" s="1023" t="s">
        <v>179</v>
      </c>
      <c r="Q158" s="1024"/>
      <c r="R158" s="547">
        <f>K158</f>
        <v>2022</v>
      </c>
      <c r="S158" s="547">
        <f>L158</f>
        <v>2020</v>
      </c>
      <c r="T158" s="547" t="str">
        <f>M158</f>
        <v>-</v>
      </c>
      <c r="U158" s="1022"/>
      <c r="W158" s="544" t="s">
        <v>19</v>
      </c>
      <c r="X158" s="545">
        <v>2.6</v>
      </c>
    </row>
    <row r="159" spans="1:24" ht="13" thickBot="1" x14ac:dyDescent="0.3">
      <c r="A159" s="1034"/>
      <c r="B159" s="457">
        <v>1</v>
      </c>
      <c r="C159" s="549">
        <v>15</v>
      </c>
      <c r="D159" s="549">
        <v>0.6</v>
      </c>
      <c r="E159" s="549">
        <v>-0.6</v>
      </c>
      <c r="F159" s="550" t="s">
        <v>180</v>
      </c>
      <c r="G159" s="551">
        <f>0.5*(MAX(D159:F159)-MIN(D159:F159))</f>
        <v>0.6</v>
      </c>
      <c r="I159" s="457">
        <v>1</v>
      </c>
      <c r="J159" s="549">
        <v>30</v>
      </c>
      <c r="K159" s="549">
        <v>-2</v>
      </c>
      <c r="L159" s="549">
        <v>-0.4</v>
      </c>
      <c r="M159" s="550" t="s">
        <v>180</v>
      </c>
      <c r="N159" s="551">
        <f>0.5*(MAX(K159:M159)-MIN(K159:M159))</f>
        <v>0.8</v>
      </c>
      <c r="P159" s="457">
        <v>1</v>
      </c>
      <c r="Q159" s="549">
        <v>985</v>
      </c>
      <c r="R159" s="550">
        <v>4.3</v>
      </c>
      <c r="S159" s="550">
        <v>0.9</v>
      </c>
      <c r="T159" s="550" t="s">
        <v>180</v>
      </c>
      <c r="U159" s="551">
        <f>0.5*(MAX(R159:T159)-MIN(R159:T159))</f>
        <v>1.7</v>
      </c>
      <c r="W159" s="552" t="s">
        <v>179</v>
      </c>
      <c r="X159" s="553">
        <v>2.6</v>
      </c>
    </row>
    <row r="160" spans="1:24" x14ac:dyDescent="0.25">
      <c r="A160" s="1034"/>
      <c r="B160" s="457">
        <v>2</v>
      </c>
      <c r="C160" s="549">
        <v>20</v>
      </c>
      <c r="D160" s="549">
        <v>0.3</v>
      </c>
      <c r="E160" s="549">
        <v>-0.5</v>
      </c>
      <c r="F160" s="550" t="s">
        <v>180</v>
      </c>
      <c r="G160" s="551">
        <f t="shared" ref="G160:G165" si="42">0.5*(MAX(D160:F160)-MIN(D160:F160))</f>
        <v>0.4</v>
      </c>
      <c r="I160" s="457">
        <v>2</v>
      </c>
      <c r="J160" s="549">
        <v>40</v>
      </c>
      <c r="K160" s="549">
        <v>-1.7</v>
      </c>
      <c r="L160" s="549">
        <v>-0.3</v>
      </c>
      <c r="M160" s="550" t="s">
        <v>180</v>
      </c>
      <c r="N160" s="551">
        <f t="shared" ref="N160:N165" si="43">0.5*(MAX(K160:M160)-MIN(K160:M160))</f>
        <v>0.7</v>
      </c>
      <c r="P160" s="457">
        <v>2</v>
      </c>
      <c r="Q160" s="549">
        <v>990</v>
      </c>
      <c r="R160" s="550">
        <v>4.2</v>
      </c>
      <c r="S160" s="550">
        <v>1</v>
      </c>
      <c r="T160" s="550" t="s">
        <v>180</v>
      </c>
      <c r="U160" s="551">
        <f t="shared" ref="U160:U165" si="44">0.5*(MAX(R160:T160)-MIN(R160:T160))</f>
        <v>1.6</v>
      </c>
    </row>
    <row r="161" spans="1:24" x14ac:dyDescent="0.25">
      <c r="A161" s="1034"/>
      <c r="B161" s="457">
        <v>3</v>
      </c>
      <c r="C161" s="549">
        <v>25</v>
      </c>
      <c r="D161" s="549">
        <v>0.2</v>
      </c>
      <c r="E161" s="549">
        <v>-0.4</v>
      </c>
      <c r="F161" s="550" t="s">
        <v>180</v>
      </c>
      <c r="G161" s="551">
        <f t="shared" si="42"/>
        <v>0.30000000000000004</v>
      </c>
      <c r="I161" s="457">
        <v>3</v>
      </c>
      <c r="J161" s="549">
        <v>50</v>
      </c>
      <c r="K161" s="549">
        <v>-1.4</v>
      </c>
      <c r="L161" s="549">
        <v>-0.3</v>
      </c>
      <c r="M161" s="550" t="s">
        <v>180</v>
      </c>
      <c r="N161" s="551">
        <f t="shared" si="43"/>
        <v>0.54999999999999993</v>
      </c>
      <c r="P161" s="457">
        <v>3</v>
      </c>
      <c r="Q161" s="554">
        <v>995</v>
      </c>
      <c r="R161" s="555">
        <v>4.0999999999999996</v>
      </c>
      <c r="S161" s="555">
        <v>1</v>
      </c>
      <c r="T161" s="550" t="s">
        <v>180</v>
      </c>
      <c r="U161" s="551">
        <f t="shared" si="44"/>
        <v>1.5499999999999998</v>
      </c>
    </row>
    <row r="162" spans="1:24" x14ac:dyDescent="0.25">
      <c r="A162" s="1034"/>
      <c r="B162" s="457">
        <v>4</v>
      </c>
      <c r="C162" s="554">
        <v>30</v>
      </c>
      <c r="D162" s="554">
        <v>0.4</v>
      </c>
      <c r="E162" s="554">
        <v>-0.2</v>
      </c>
      <c r="F162" s="550" t="s">
        <v>180</v>
      </c>
      <c r="G162" s="551">
        <f t="shared" si="42"/>
        <v>0.30000000000000004</v>
      </c>
      <c r="I162" s="457">
        <v>4</v>
      </c>
      <c r="J162" s="554">
        <v>60</v>
      </c>
      <c r="K162" s="554">
        <v>-1.1000000000000001</v>
      </c>
      <c r="L162" s="554">
        <v>-0.5</v>
      </c>
      <c r="M162" s="550" t="s">
        <v>180</v>
      </c>
      <c r="N162" s="551">
        <f t="shared" si="43"/>
        <v>0.30000000000000004</v>
      </c>
      <c r="P162" s="457">
        <v>4</v>
      </c>
      <c r="Q162" s="554">
        <v>1000</v>
      </c>
      <c r="R162" s="555">
        <v>4.0999999999999996</v>
      </c>
      <c r="S162" s="555">
        <v>1.1000000000000001</v>
      </c>
      <c r="T162" s="550" t="s">
        <v>180</v>
      </c>
      <c r="U162" s="551">
        <f t="shared" si="44"/>
        <v>1.4999999999999998</v>
      </c>
    </row>
    <row r="163" spans="1:24" x14ac:dyDescent="0.25">
      <c r="A163" s="1034"/>
      <c r="B163" s="457">
        <v>5</v>
      </c>
      <c r="C163" s="554">
        <v>35</v>
      </c>
      <c r="D163" s="554">
        <v>0.8</v>
      </c>
      <c r="E163" s="554">
        <v>-0.1</v>
      </c>
      <c r="F163" s="550" t="s">
        <v>180</v>
      </c>
      <c r="G163" s="551">
        <f t="shared" si="42"/>
        <v>0.45</v>
      </c>
      <c r="I163" s="457">
        <v>5</v>
      </c>
      <c r="J163" s="554">
        <v>70</v>
      </c>
      <c r="K163" s="554">
        <v>-0.7</v>
      </c>
      <c r="L163" s="554">
        <v>-0.8</v>
      </c>
      <c r="M163" s="550" t="s">
        <v>180</v>
      </c>
      <c r="N163" s="551">
        <f t="shared" si="43"/>
        <v>5.0000000000000044E-2</v>
      </c>
      <c r="P163" s="457">
        <v>5</v>
      </c>
      <c r="Q163" s="554">
        <v>1005</v>
      </c>
      <c r="R163" s="555">
        <v>4</v>
      </c>
      <c r="S163" s="555">
        <v>1.1000000000000001</v>
      </c>
      <c r="T163" s="550" t="s">
        <v>180</v>
      </c>
      <c r="U163" s="551">
        <f t="shared" si="44"/>
        <v>1.45</v>
      </c>
    </row>
    <row r="164" spans="1:24" x14ac:dyDescent="0.25">
      <c r="A164" s="1034"/>
      <c r="B164" s="457">
        <v>6</v>
      </c>
      <c r="C164" s="554">
        <v>37</v>
      </c>
      <c r="D164" s="554">
        <v>1</v>
      </c>
      <c r="E164" s="554">
        <v>-0.1</v>
      </c>
      <c r="F164" s="550" t="s">
        <v>180</v>
      </c>
      <c r="G164" s="551">
        <f t="shared" si="42"/>
        <v>0.55000000000000004</v>
      </c>
      <c r="I164" s="457">
        <v>6</v>
      </c>
      <c r="J164" s="554">
        <v>80</v>
      </c>
      <c r="K164" s="554">
        <v>-0.4</v>
      </c>
      <c r="L164" s="554">
        <v>-1.3</v>
      </c>
      <c r="M164" s="550" t="s">
        <v>180</v>
      </c>
      <c r="N164" s="551">
        <f t="shared" si="43"/>
        <v>0.45</v>
      </c>
      <c r="P164" s="457">
        <v>6</v>
      </c>
      <c r="Q164" s="554">
        <v>1010</v>
      </c>
      <c r="R164" s="555">
        <v>3.9</v>
      </c>
      <c r="S164" s="555">
        <v>1.1000000000000001</v>
      </c>
      <c r="T164" s="550" t="s">
        <v>180</v>
      </c>
      <c r="U164" s="551">
        <f t="shared" si="44"/>
        <v>1.4</v>
      </c>
    </row>
    <row r="165" spans="1:24" x14ac:dyDescent="0.25">
      <c r="A165" s="1034"/>
      <c r="B165" s="457">
        <v>7</v>
      </c>
      <c r="C165" s="554">
        <v>40</v>
      </c>
      <c r="D165" s="554">
        <v>1.4</v>
      </c>
      <c r="E165" s="554">
        <v>9.9999999999999995E-7</v>
      </c>
      <c r="F165" s="550" t="s">
        <v>180</v>
      </c>
      <c r="G165" s="551">
        <f t="shared" si="42"/>
        <v>0.6999995</v>
      </c>
      <c r="I165" s="457">
        <v>7</v>
      </c>
      <c r="J165" s="554">
        <v>90</v>
      </c>
      <c r="K165" s="554">
        <v>-0.1</v>
      </c>
      <c r="L165" s="554">
        <v>-2</v>
      </c>
      <c r="M165" s="550" t="s">
        <v>180</v>
      </c>
      <c r="N165" s="551">
        <f t="shared" si="43"/>
        <v>0.95</v>
      </c>
      <c r="P165" s="457">
        <v>7</v>
      </c>
      <c r="Q165" s="554">
        <v>1020</v>
      </c>
      <c r="R165" s="555">
        <v>9.9999999999999995E-7</v>
      </c>
      <c r="S165" s="555">
        <v>9.9999999999999995E-7</v>
      </c>
      <c r="T165" s="550" t="s">
        <v>180</v>
      </c>
      <c r="U165" s="551">
        <f t="shared" si="44"/>
        <v>0</v>
      </c>
    </row>
    <row r="166" spans="1:24" ht="13" thickBot="1" x14ac:dyDescent="0.3">
      <c r="A166" s="558"/>
      <c r="C166" s="469"/>
      <c r="D166" s="469"/>
      <c r="E166" s="562"/>
      <c r="F166" s="469"/>
      <c r="I166" s="469"/>
      <c r="J166" s="469"/>
      <c r="K166" s="562"/>
      <c r="L166" s="469"/>
      <c r="O166" s="469"/>
      <c r="P166" s="562"/>
      <c r="Q166" s="562"/>
      <c r="R166" s="469"/>
    </row>
    <row r="167" spans="1:24" x14ac:dyDescent="0.25">
      <c r="A167" s="1034">
        <v>16</v>
      </c>
      <c r="B167" s="1025" t="s">
        <v>195</v>
      </c>
      <c r="C167" s="1025"/>
      <c r="D167" s="1025"/>
      <c r="E167" s="1025"/>
      <c r="F167" s="1025"/>
      <c r="G167" s="1025"/>
      <c r="I167" s="1025" t="str">
        <f>B167</f>
        <v>KOREKSI EXTECH A.100616</v>
      </c>
      <c r="J167" s="1025"/>
      <c r="K167" s="1025"/>
      <c r="L167" s="1025"/>
      <c r="M167" s="1025"/>
      <c r="N167" s="1025"/>
      <c r="P167" s="1025" t="str">
        <f>I167</f>
        <v>KOREKSI EXTECH A.100616</v>
      </c>
      <c r="Q167" s="1025"/>
      <c r="R167" s="1025"/>
      <c r="S167" s="1025"/>
      <c r="T167" s="1025"/>
      <c r="U167" s="1025"/>
      <c r="W167" s="1020" t="s">
        <v>173</v>
      </c>
      <c r="X167" s="1021"/>
    </row>
    <row r="168" spans="1:24" ht="13" x14ac:dyDescent="0.25">
      <c r="A168" s="1034"/>
      <c r="B168" s="1022" t="s">
        <v>174</v>
      </c>
      <c r="C168" s="1022"/>
      <c r="D168" s="1022" t="s">
        <v>175</v>
      </c>
      <c r="E168" s="1022"/>
      <c r="F168" s="1022"/>
      <c r="G168" s="1022" t="s">
        <v>176</v>
      </c>
      <c r="I168" s="1022" t="s">
        <v>177</v>
      </c>
      <c r="J168" s="1022"/>
      <c r="K168" s="1022" t="s">
        <v>175</v>
      </c>
      <c r="L168" s="1022"/>
      <c r="M168" s="1022"/>
      <c r="N168" s="1022" t="s">
        <v>176</v>
      </c>
      <c r="P168" s="1022" t="s">
        <v>178</v>
      </c>
      <c r="Q168" s="1022"/>
      <c r="R168" s="1022" t="s">
        <v>175</v>
      </c>
      <c r="S168" s="1022"/>
      <c r="T168" s="1022"/>
      <c r="U168" s="1022" t="s">
        <v>176</v>
      </c>
      <c r="W168" s="544" t="s">
        <v>174</v>
      </c>
      <c r="X168" s="545">
        <v>0.4</v>
      </c>
    </row>
    <row r="169" spans="1:24" ht="14.5" x14ac:dyDescent="0.25">
      <c r="A169" s="1034"/>
      <c r="B169" s="1024" t="s">
        <v>388</v>
      </c>
      <c r="C169" s="1024"/>
      <c r="D169" s="547">
        <v>2020</v>
      </c>
      <c r="E169" s="548" t="s">
        <v>180</v>
      </c>
      <c r="F169" s="548" t="s">
        <v>180</v>
      </c>
      <c r="G169" s="1022"/>
      <c r="I169" s="1023" t="s">
        <v>19</v>
      </c>
      <c r="J169" s="1024"/>
      <c r="K169" s="547">
        <f>D169</f>
        <v>2020</v>
      </c>
      <c r="L169" s="547" t="str">
        <f>E169</f>
        <v>-</v>
      </c>
      <c r="M169" s="547" t="str">
        <f>F169</f>
        <v>-</v>
      </c>
      <c r="N169" s="1022"/>
      <c r="P169" s="1023" t="s">
        <v>179</v>
      </c>
      <c r="Q169" s="1024"/>
      <c r="R169" s="547">
        <f>K169</f>
        <v>2020</v>
      </c>
      <c r="S169" s="547" t="str">
        <f>L169</f>
        <v>-</v>
      </c>
      <c r="T169" s="547" t="str">
        <f>M169</f>
        <v>-</v>
      </c>
      <c r="U169" s="1022"/>
      <c r="W169" s="544" t="s">
        <v>19</v>
      </c>
      <c r="X169" s="545">
        <v>2.2000000000000002</v>
      </c>
    </row>
    <row r="170" spans="1:24" ht="13" thickBot="1" x14ac:dyDescent="0.3">
      <c r="A170" s="1034"/>
      <c r="B170" s="457">
        <v>1</v>
      </c>
      <c r="C170" s="549">
        <v>15</v>
      </c>
      <c r="D170" s="549">
        <v>0.1</v>
      </c>
      <c r="E170" s="549" t="s">
        <v>180</v>
      </c>
      <c r="F170" s="550" t="s">
        <v>180</v>
      </c>
      <c r="G170" s="551">
        <f>0.5*(MAX(D170:F170)-MIN(D170:F170))</f>
        <v>0</v>
      </c>
      <c r="I170" s="457">
        <v>1</v>
      </c>
      <c r="J170" s="549">
        <v>30</v>
      </c>
      <c r="K170" s="549">
        <v>-1.6</v>
      </c>
      <c r="L170" s="549" t="s">
        <v>180</v>
      </c>
      <c r="M170" s="550" t="s">
        <v>180</v>
      </c>
      <c r="N170" s="551">
        <f>0.5*(MAX(K170:M170)-MIN(K170:M170))</f>
        <v>0</v>
      </c>
      <c r="P170" s="457">
        <v>1</v>
      </c>
      <c r="Q170" s="549">
        <v>800</v>
      </c>
      <c r="R170" s="550">
        <v>-2.9</v>
      </c>
      <c r="S170" s="549" t="s">
        <v>180</v>
      </c>
      <c r="T170" s="550" t="s">
        <v>180</v>
      </c>
      <c r="U170" s="551">
        <f>0.5*(MAX(R170:T170)-MIN(R170:T170))</f>
        <v>0</v>
      </c>
      <c r="W170" s="552" t="s">
        <v>179</v>
      </c>
      <c r="X170" s="553">
        <v>2.2999999999999998</v>
      </c>
    </row>
    <row r="171" spans="1:24" x14ac:dyDescent="0.25">
      <c r="A171" s="1034"/>
      <c r="B171" s="457">
        <v>2</v>
      </c>
      <c r="C171" s="549">
        <v>20</v>
      </c>
      <c r="D171" s="549">
        <v>0.2</v>
      </c>
      <c r="E171" s="549" t="s">
        <v>180</v>
      </c>
      <c r="F171" s="550" t="s">
        <v>180</v>
      </c>
      <c r="G171" s="551">
        <f t="shared" ref="G171:G176" si="45">0.5*(MAX(D171:F171)-MIN(D171:F171))</f>
        <v>0</v>
      </c>
      <c r="I171" s="457">
        <v>2</v>
      </c>
      <c r="J171" s="549">
        <v>40</v>
      </c>
      <c r="K171" s="549">
        <v>-1.4</v>
      </c>
      <c r="L171" s="549" t="s">
        <v>180</v>
      </c>
      <c r="M171" s="550" t="s">
        <v>180</v>
      </c>
      <c r="N171" s="551">
        <f t="shared" ref="N171:N176" si="46">0.5*(MAX(K171:M171)-MIN(K171:M171))</f>
        <v>0</v>
      </c>
      <c r="P171" s="457">
        <v>2</v>
      </c>
      <c r="Q171" s="549">
        <v>850</v>
      </c>
      <c r="R171" s="550">
        <v>-2.2999999999999998</v>
      </c>
      <c r="S171" s="549" t="s">
        <v>180</v>
      </c>
      <c r="T171" s="550" t="s">
        <v>180</v>
      </c>
      <c r="U171" s="551">
        <f t="shared" ref="U171:U176" si="47">0.5*(MAX(R171:T171)-MIN(R171:T171))</f>
        <v>0</v>
      </c>
    </row>
    <row r="172" spans="1:24" x14ac:dyDescent="0.25">
      <c r="A172" s="1034"/>
      <c r="B172" s="457">
        <v>3</v>
      </c>
      <c r="C172" s="549">
        <v>25</v>
      </c>
      <c r="D172" s="549">
        <v>0.2</v>
      </c>
      <c r="E172" s="549" t="s">
        <v>180</v>
      </c>
      <c r="F172" s="550" t="s">
        <v>180</v>
      </c>
      <c r="G172" s="551">
        <f t="shared" si="45"/>
        <v>0</v>
      </c>
      <c r="I172" s="457">
        <v>3</v>
      </c>
      <c r="J172" s="549">
        <v>50</v>
      </c>
      <c r="K172" s="549">
        <v>-1.4</v>
      </c>
      <c r="L172" s="549" t="s">
        <v>180</v>
      </c>
      <c r="M172" s="550" t="s">
        <v>180</v>
      </c>
      <c r="N172" s="551">
        <f t="shared" si="46"/>
        <v>0</v>
      </c>
      <c r="P172" s="457">
        <v>3</v>
      </c>
      <c r="Q172" s="554">
        <v>900</v>
      </c>
      <c r="R172" s="555">
        <v>-1.7</v>
      </c>
      <c r="S172" s="549" t="s">
        <v>180</v>
      </c>
      <c r="T172" s="550" t="s">
        <v>180</v>
      </c>
      <c r="U172" s="551">
        <f t="shared" si="47"/>
        <v>0</v>
      </c>
    </row>
    <row r="173" spans="1:24" x14ac:dyDescent="0.25">
      <c r="A173" s="1034"/>
      <c r="B173" s="457">
        <v>4</v>
      </c>
      <c r="C173" s="554">
        <v>30</v>
      </c>
      <c r="D173" s="554">
        <v>0.2</v>
      </c>
      <c r="E173" s="555" t="s">
        <v>180</v>
      </c>
      <c r="F173" s="550" t="s">
        <v>180</v>
      </c>
      <c r="G173" s="551">
        <f t="shared" si="45"/>
        <v>0</v>
      </c>
      <c r="I173" s="457">
        <v>4</v>
      </c>
      <c r="J173" s="554">
        <v>60</v>
      </c>
      <c r="K173" s="554">
        <v>-1.5</v>
      </c>
      <c r="L173" s="555" t="s">
        <v>180</v>
      </c>
      <c r="M173" s="550" t="s">
        <v>180</v>
      </c>
      <c r="N173" s="551">
        <f t="shared" si="46"/>
        <v>0</v>
      </c>
      <c r="P173" s="457">
        <v>4</v>
      </c>
      <c r="Q173" s="554">
        <v>950</v>
      </c>
      <c r="R173" s="555">
        <v>-1.1000000000000001</v>
      </c>
      <c r="S173" s="555" t="s">
        <v>180</v>
      </c>
      <c r="T173" s="550" t="s">
        <v>180</v>
      </c>
      <c r="U173" s="551">
        <f t="shared" si="47"/>
        <v>0</v>
      </c>
    </row>
    <row r="174" spans="1:24" x14ac:dyDescent="0.25">
      <c r="A174" s="1034"/>
      <c r="B174" s="457">
        <v>5</v>
      </c>
      <c r="C174" s="554">
        <v>35</v>
      </c>
      <c r="D174" s="554">
        <v>0.1</v>
      </c>
      <c r="E174" s="555" t="s">
        <v>180</v>
      </c>
      <c r="F174" s="550" t="s">
        <v>180</v>
      </c>
      <c r="G174" s="551">
        <f t="shared" si="45"/>
        <v>0</v>
      </c>
      <c r="I174" s="457">
        <v>5</v>
      </c>
      <c r="J174" s="554">
        <v>70</v>
      </c>
      <c r="K174" s="554">
        <v>-1.8</v>
      </c>
      <c r="L174" s="555" t="s">
        <v>180</v>
      </c>
      <c r="M174" s="550" t="s">
        <v>180</v>
      </c>
      <c r="N174" s="551">
        <f t="shared" si="46"/>
        <v>0</v>
      </c>
      <c r="P174" s="457">
        <v>5</v>
      </c>
      <c r="Q174" s="554">
        <v>1000</v>
      </c>
      <c r="R174" s="555">
        <v>-0.4</v>
      </c>
      <c r="S174" s="555" t="s">
        <v>180</v>
      </c>
      <c r="T174" s="550" t="s">
        <v>180</v>
      </c>
      <c r="U174" s="551">
        <f t="shared" si="47"/>
        <v>0</v>
      </c>
    </row>
    <row r="175" spans="1:24" x14ac:dyDescent="0.25">
      <c r="A175" s="1034"/>
      <c r="B175" s="457">
        <v>6</v>
      </c>
      <c r="C175" s="554">
        <v>37</v>
      </c>
      <c r="D175" s="554">
        <v>9.9999999999999995E-7</v>
      </c>
      <c r="E175" s="555" t="s">
        <v>180</v>
      </c>
      <c r="F175" s="550" t="s">
        <v>180</v>
      </c>
      <c r="G175" s="551">
        <f t="shared" si="45"/>
        <v>0</v>
      </c>
      <c r="I175" s="457">
        <v>6</v>
      </c>
      <c r="J175" s="554">
        <v>80</v>
      </c>
      <c r="K175" s="554">
        <v>-2.2999999999999998</v>
      </c>
      <c r="L175" s="555" t="s">
        <v>180</v>
      </c>
      <c r="M175" s="550" t="s">
        <v>180</v>
      </c>
      <c r="N175" s="551">
        <f t="shared" si="46"/>
        <v>0</v>
      </c>
      <c r="P175" s="457">
        <v>6</v>
      </c>
      <c r="Q175" s="554">
        <v>1005</v>
      </c>
      <c r="R175" s="555">
        <v>-0.4</v>
      </c>
      <c r="S175" s="555" t="s">
        <v>180</v>
      </c>
      <c r="T175" s="550" t="s">
        <v>180</v>
      </c>
      <c r="U175" s="551">
        <f t="shared" si="47"/>
        <v>0</v>
      </c>
    </row>
    <row r="176" spans="1:24" x14ac:dyDescent="0.25">
      <c r="A176" s="1034"/>
      <c r="B176" s="457">
        <v>7</v>
      </c>
      <c r="C176" s="554">
        <v>40</v>
      </c>
      <c r="D176" s="554">
        <v>9.9999999999999995E-7</v>
      </c>
      <c r="E176" s="555" t="s">
        <v>180</v>
      </c>
      <c r="F176" s="550" t="s">
        <v>180</v>
      </c>
      <c r="G176" s="551">
        <f t="shared" si="45"/>
        <v>0</v>
      </c>
      <c r="I176" s="457">
        <v>7</v>
      </c>
      <c r="J176" s="554">
        <v>90</v>
      </c>
      <c r="K176" s="554">
        <v>-3</v>
      </c>
      <c r="L176" s="555" t="s">
        <v>180</v>
      </c>
      <c r="M176" s="550" t="s">
        <v>180</v>
      </c>
      <c r="N176" s="551">
        <f t="shared" si="46"/>
        <v>0</v>
      </c>
      <c r="P176" s="457">
        <v>7</v>
      </c>
      <c r="Q176" s="554">
        <v>1020</v>
      </c>
      <c r="R176" s="555">
        <v>9.9999999999999995E-7</v>
      </c>
      <c r="S176" s="555" t="s">
        <v>180</v>
      </c>
      <c r="T176" s="550" t="s">
        <v>180</v>
      </c>
      <c r="U176" s="551">
        <f t="shared" si="47"/>
        <v>0</v>
      </c>
    </row>
    <row r="177" spans="1:24" ht="13" thickBot="1" x14ac:dyDescent="0.3">
      <c r="A177" s="558"/>
      <c r="C177" s="469"/>
      <c r="D177" s="469"/>
      <c r="E177" s="562"/>
      <c r="F177" s="469"/>
      <c r="J177" s="469"/>
      <c r="K177" s="469"/>
      <c r="L177" s="562"/>
      <c r="M177" s="469"/>
      <c r="Q177" s="469"/>
      <c r="R177" s="562"/>
      <c r="S177" s="562"/>
      <c r="T177" s="469"/>
    </row>
    <row r="178" spans="1:24" x14ac:dyDescent="0.25">
      <c r="A178" s="1034">
        <v>17</v>
      </c>
      <c r="B178" s="1025" t="s">
        <v>196</v>
      </c>
      <c r="C178" s="1025"/>
      <c r="D178" s="1025"/>
      <c r="E178" s="1025"/>
      <c r="F178" s="1025"/>
      <c r="G178" s="1025"/>
      <c r="I178" s="1025" t="str">
        <f>B178</f>
        <v>KOREKSI EXTECH A.100617</v>
      </c>
      <c r="J178" s="1025"/>
      <c r="K178" s="1025"/>
      <c r="L178" s="1025"/>
      <c r="M178" s="1025"/>
      <c r="N178" s="1025"/>
      <c r="P178" s="1025" t="str">
        <f>I178</f>
        <v>KOREKSI EXTECH A.100617</v>
      </c>
      <c r="Q178" s="1025"/>
      <c r="R178" s="1025"/>
      <c r="S178" s="1025"/>
      <c r="T178" s="1025"/>
      <c r="U178" s="1025"/>
      <c r="W178" s="1020" t="s">
        <v>173</v>
      </c>
      <c r="X178" s="1021"/>
    </row>
    <row r="179" spans="1:24" ht="13" x14ac:dyDescent="0.25">
      <c r="A179" s="1034"/>
      <c r="B179" s="1022" t="s">
        <v>174</v>
      </c>
      <c r="C179" s="1022"/>
      <c r="D179" s="1022" t="s">
        <v>175</v>
      </c>
      <c r="E179" s="1022"/>
      <c r="F179" s="1022"/>
      <c r="G179" s="1022" t="s">
        <v>176</v>
      </c>
      <c r="I179" s="1022" t="s">
        <v>177</v>
      </c>
      <c r="J179" s="1022"/>
      <c r="K179" s="1022" t="s">
        <v>175</v>
      </c>
      <c r="L179" s="1022"/>
      <c r="M179" s="1022"/>
      <c r="N179" s="1022" t="s">
        <v>176</v>
      </c>
      <c r="P179" s="1022" t="s">
        <v>178</v>
      </c>
      <c r="Q179" s="1022"/>
      <c r="R179" s="1022" t="s">
        <v>175</v>
      </c>
      <c r="S179" s="1022"/>
      <c r="T179" s="1022"/>
      <c r="U179" s="1022" t="s">
        <v>176</v>
      </c>
      <c r="W179" s="544" t="s">
        <v>174</v>
      </c>
      <c r="X179" s="545">
        <v>0.3</v>
      </c>
    </row>
    <row r="180" spans="1:24" ht="14.5" x14ac:dyDescent="0.25">
      <c r="A180" s="1034"/>
      <c r="B180" s="1024" t="s">
        <v>388</v>
      </c>
      <c r="C180" s="1024"/>
      <c r="D180" s="547">
        <v>2020</v>
      </c>
      <c r="E180" s="548" t="s">
        <v>180</v>
      </c>
      <c r="F180" s="548" t="s">
        <v>180</v>
      </c>
      <c r="G180" s="1022"/>
      <c r="I180" s="1023" t="s">
        <v>19</v>
      </c>
      <c r="J180" s="1024"/>
      <c r="K180" s="547">
        <f>D180</f>
        <v>2020</v>
      </c>
      <c r="L180" s="547" t="str">
        <f>E180</f>
        <v>-</v>
      </c>
      <c r="M180" s="547" t="str">
        <f>F180</f>
        <v>-</v>
      </c>
      <c r="N180" s="1022"/>
      <c r="P180" s="1023" t="s">
        <v>179</v>
      </c>
      <c r="Q180" s="1024"/>
      <c r="R180" s="547">
        <f>K180</f>
        <v>2020</v>
      </c>
      <c r="S180" s="547" t="str">
        <f>L180</f>
        <v>-</v>
      </c>
      <c r="T180" s="547" t="str">
        <f>M180</f>
        <v>-</v>
      </c>
      <c r="U180" s="1022"/>
      <c r="W180" s="544" t="s">
        <v>19</v>
      </c>
      <c r="X180" s="545">
        <v>2.8</v>
      </c>
    </row>
    <row r="181" spans="1:24" ht="13" thickBot="1" x14ac:dyDescent="0.3">
      <c r="A181" s="1034"/>
      <c r="B181" s="457">
        <v>1</v>
      </c>
      <c r="C181" s="549">
        <v>15</v>
      </c>
      <c r="D181" s="549">
        <v>0.1</v>
      </c>
      <c r="E181" s="549" t="s">
        <v>180</v>
      </c>
      <c r="F181" s="550" t="s">
        <v>180</v>
      </c>
      <c r="G181" s="551">
        <f>0.5*(MAX(D181:F181)-MIN(D181:F181))</f>
        <v>0</v>
      </c>
      <c r="I181" s="457">
        <v>1</v>
      </c>
      <c r="J181" s="549">
        <v>30</v>
      </c>
      <c r="K181" s="549">
        <v>0.1</v>
      </c>
      <c r="L181" s="549" t="s">
        <v>180</v>
      </c>
      <c r="M181" s="550" t="s">
        <v>180</v>
      </c>
      <c r="N181" s="551">
        <f>0.5*(MAX(K181:M181)-MIN(K181:M181))</f>
        <v>0</v>
      </c>
      <c r="P181" s="457">
        <v>1</v>
      </c>
      <c r="Q181" s="549">
        <v>960</v>
      </c>
      <c r="R181" s="550">
        <v>-0.6</v>
      </c>
      <c r="S181" s="549" t="s">
        <v>180</v>
      </c>
      <c r="T181" s="550" t="s">
        <v>180</v>
      </c>
      <c r="U181" s="551">
        <f>0.5*(MAX(R181:T181)-MIN(R181:T181))</f>
        <v>0</v>
      </c>
      <c r="W181" s="552" t="s">
        <v>179</v>
      </c>
      <c r="X181" s="553">
        <v>2.1</v>
      </c>
    </row>
    <row r="182" spans="1:24" x14ac:dyDescent="0.25">
      <c r="A182" s="1034"/>
      <c r="B182" s="457">
        <v>2</v>
      </c>
      <c r="C182" s="549">
        <v>20</v>
      </c>
      <c r="D182" s="549">
        <v>0.1</v>
      </c>
      <c r="E182" s="549" t="s">
        <v>180</v>
      </c>
      <c r="F182" s="550" t="s">
        <v>180</v>
      </c>
      <c r="G182" s="551">
        <f t="shared" ref="G182:G187" si="48">0.5*(MAX(D182:F182)-MIN(D182:F182))</f>
        <v>0</v>
      </c>
      <c r="I182" s="457">
        <v>2</v>
      </c>
      <c r="J182" s="549">
        <v>40</v>
      </c>
      <c r="K182" s="549">
        <v>0.2</v>
      </c>
      <c r="L182" s="549" t="s">
        <v>180</v>
      </c>
      <c r="M182" s="550" t="s">
        <v>180</v>
      </c>
      <c r="N182" s="551">
        <f t="shared" ref="N182:N187" si="49">0.5*(MAX(K182:M182)-MIN(K182:M182))</f>
        <v>0</v>
      </c>
      <c r="P182" s="457">
        <v>2</v>
      </c>
      <c r="Q182" s="549">
        <v>970</v>
      </c>
      <c r="R182" s="550">
        <v>-0.6</v>
      </c>
      <c r="S182" s="549" t="s">
        <v>180</v>
      </c>
      <c r="T182" s="550" t="s">
        <v>180</v>
      </c>
      <c r="U182" s="551">
        <f t="shared" ref="U182:U187" si="50">0.5*(MAX(R182:T182)-MIN(R182:T182))</f>
        <v>0</v>
      </c>
    </row>
    <row r="183" spans="1:24" x14ac:dyDescent="0.25">
      <c r="A183" s="1034"/>
      <c r="B183" s="457">
        <v>3</v>
      </c>
      <c r="C183" s="549">
        <v>25</v>
      </c>
      <c r="D183" s="549">
        <v>9.9999999999999995E-7</v>
      </c>
      <c r="E183" s="549" t="s">
        <v>180</v>
      </c>
      <c r="F183" s="550" t="s">
        <v>180</v>
      </c>
      <c r="G183" s="551">
        <f t="shared" si="48"/>
        <v>0</v>
      </c>
      <c r="I183" s="457">
        <v>3</v>
      </c>
      <c r="J183" s="549">
        <v>50</v>
      </c>
      <c r="K183" s="549">
        <v>0.2</v>
      </c>
      <c r="L183" s="549" t="s">
        <v>180</v>
      </c>
      <c r="M183" s="550" t="s">
        <v>180</v>
      </c>
      <c r="N183" s="551">
        <f t="shared" si="49"/>
        <v>0</v>
      </c>
      <c r="P183" s="457">
        <v>3</v>
      </c>
      <c r="Q183" s="554">
        <v>980</v>
      </c>
      <c r="R183" s="555">
        <v>-0.6</v>
      </c>
      <c r="S183" s="549" t="s">
        <v>180</v>
      </c>
      <c r="T183" s="550" t="s">
        <v>180</v>
      </c>
      <c r="U183" s="551">
        <f t="shared" si="50"/>
        <v>0</v>
      </c>
    </row>
    <row r="184" spans="1:24" x14ac:dyDescent="0.25">
      <c r="A184" s="1034"/>
      <c r="B184" s="457">
        <v>4</v>
      </c>
      <c r="C184" s="554">
        <v>30</v>
      </c>
      <c r="D184" s="554">
        <v>-0.2</v>
      </c>
      <c r="E184" s="555" t="s">
        <v>180</v>
      </c>
      <c r="F184" s="550" t="s">
        <v>180</v>
      </c>
      <c r="G184" s="551">
        <f t="shared" si="48"/>
        <v>0</v>
      </c>
      <c r="I184" s="457">
        <v>4</v>
      </c>
      <c r="J184" s="554">
        <v>60</v>
      </c>
      <c r="K184" s="554">
        <v>9.9999999999999995E-7</v>
      </c>
      <c r="L184" s="555" t="s">
        <v>180</v>
      </c>
      <c r="M184" s="550" t="s">
        <v>180</v>
      </c>
      <c r="N184" s="551">
        <f t="shared" si="49"/>
        <v>0</v>
      </c>
      <c r="P184" s="457">
        <v>4</v>
      </c>
      <c r="Q184" s="554">
        <v>990</v>
      </c>
      <c r="R184" s="555">
        <v>-0.6</v>
      </c>
      <c r="S184" s="555" t="s">
        <v>180</v>
      </c>
      <c r="T184" s="550" t="s">
        <v>180</v>
      </c>
      <c r="U184" s="551">
        <f t="shared" si="50"/>
        <v>0</v>
      </c>
    </row>
    <row r="185" spans="1:24" x14ac:dyDescent="0.25">
      <c r="A185" s="1034"/>
      <c r="B185" s="457">
        <v>5</v>
      </c>
      <c r="C185" s="554">
        <v>35</v>
      </c>
      <c r="D185" s="554">
        <v>-0.5</v>
      </c>
      <c r="E185" s="555" t="s">
        <v>180</v>
      </c>
      <c r="F185" s="550" t="s">
        <v>180</v>
      </c>
      <c r="G185" s="551">
        <f t="shared" si="48"/>
        <v>0</v>
      </c>
      <c r="I185" s="457">
        <v>5</v>
      </c>
      <c r="J185" s="554">
        <v>70</v>
      </c>
      <c r="K185" s="554">
        <v>-0.3</v>
      </c>
      <c r="L185" s="555" t="s">
        <v>180</v>
      </c>
      <c r="M185" s="550" t="s">
        <v>180</v>
      </c>
      <c r="N185" s="551">
        <f t="shared" si="49"/>
        <v>0</v>
      </c>
      <c r="P185" s="457">
        <v>5</v>
      </c>
      <c r="Q185" s="554">
        <v>1000</v>
      </c>
      <c r="R185" s="555">
        <v>-0.6</v>
      </c>
      <c r="S185" s="555" t="s">
        <v>180</v>
      </c>
      <c r="T185" s="550" t="s">
        <v>180</v>
      </c>
      <c r="U185" s="551">
        <f t="shared" si="50"/>
        <v>0</v>
      </c>
    </row>
    <row r="186" spans="1:24" x14ac:dyDescent="0.25">
      <c r="A186" s="1034"/>
      <c r="B186" s="457">
        <v>6</v>
      </c>
      <c r="C186" s="554">
        <v>37</v>
      </c>
      <c r="D186" s="554">
        <v>-0.6</v>
      </c>
      <c r="E186" s="555" t="s">
        <v>180</v>
      </c>
      <c r="F186" s="550" t="s">
        <v>180</v>
      </c>
      <c r="G186" s="551">
        <f t="shared" si="48"/>
        <v>0</v>
      </c>
      <c r="I186" s="457">
        <v>6</v>
      </c>
      <c r="J186" s="554">
        <v>80</v>
      </c>
      <c r="K186" s="554">
        <v>-0.8</v>
      </c>
      <c r="L186" s="555" t="s">
        <v>180</v>
      </c>
      <c r="M186" s="550" t="s">
        <v>180</v>
      </c>
      <c r="N186" s="551">
        <f t="shared" si="49"/>
        <v>0</v>
      </c>
      <c r="P186" s="457">
        <v>6</v>
      </c>
      <c r="Q186" s="554">
        <v>1005</v>
      </c>
      <c r="R186" s="555">
        <v>-0.6</v>
      </c>
      <c r="S186" s="555" t="s">
        <v>180</v>
      </c>
      <c r="T186" s="550" t="s">
        <v>180</v>
      </c>
      <c r="U186" s="551">
        <f t="shared" si="50"/>
        <v>0</v>
      </c>
    </row>
    <row r="187" spans="1:24" x14ac:dyDescent="0.25">
      <c r="A187" s="1034"/>
      <c r="B187" s="457">
        <v>7</v>
      </c>
      <c r="C187" s="554">
        <v>40</v>
      </c>
      <c r="D187" s="554">
        <v>-0.8</v>
      </c>
      <c r="E187" s="555" t="s">
        <v>180</v>
      </c>
      <c r="F187" s="550" t="s">
        <v>180</v>
      </c>
      <c r="G187" s="551">
        <f t="shared" si="48"/>
        <v>0</v>
      </c>
      <c r="I187" s="457">
        <v>7</v>
      </c>
      <c r="J187" s="554">
        <v>90</v>
      </c>
      <c r="K187" s="554">
        <v>-1.4</v>
      </c>
      <c r="L187" s="555" t="s">
        <v>180</v>
      </c>
      <c r="M187" s="550" t="s">
        <v>180</v>
      </c>
      <c r="N187" s="551">
        <f t="shared" si="49"/>
        <v>0</v>
      </c>
      <c r="P187" s="457">
        <v>7</v>
      </c>
      <c r="Q187" s="554">
        <v>1020</v>
      </c>
      <c r="R187" s="555">
        <v>9.9999999999999995E-7</v>
      </c>
      <c r="S187" s="555" t="s">
        <v>180</v>
      </c>
      <c r="T187" s="550" t="s">
        <v>180</v>
      </c>
      <c r="U187" s="551">
        <f t="shared" si="50"/>
        <v>0</v>
      </c>
    </row>
    <row r="188" spans="1:24" ht="13" thickBot="1" x14ac:dyDescent="0.3">
      <c r="A188" s="558"/>
      <c r="C188" s="469"/>
      <c r="D188" s="469"/>
      <c r="E188" s="562"/>
      <c r="F188" s="469"/>
      <c r="J188" s="469"/>
      <c r="K188" s="469"/>
      <c r="L188" s="562"/>
      <c r="M188" s="469"/>
      <c r="Q188" s="469"/>
      <c r="R188" s="562"/>
      <c r="S188" s="562"/>
      <c r="T188" s="469"/>
    </row>
    <row r="189" spans="1:24" x14ac:dyDescent="0.25">
      <c r="A189" s="1034">
        <v>18</v>
      </c>
      <c r="B189" s="1025" t="s">
        <v>197</v>
      </c>
      <c r="C189" s="1025"/>
      <c r="D189" s="1025"/>
      <c r="E189" s="1025"/>
      <c r="F189" s="1025"/>
      <c r="G189" s="1025"/>
      <c r="I189" s="1025" t="str">
        <f>B189</f>
        <v>KOREKSI EXTECH A.100618</v>
      </c>
      <c r="J189" s="1025"/>
      <c r="K189" s="1025"/>
      <c r="L189" s="1025"/>
      <c r="M189" s="1025"/>
      <c r="N189" s="1025"/>
      <c r="P189" s="1025" t="str">
        <f>I189</f>
        <v>KOREKSI EXTECH A.100618</v>
      </c>
      <c r="Q189" s="1025"/>
      <c r="R189" s="1025"/>
      <c r="S189" s="1025"/>
      <c r="T189" s="1025"/>
      <c r="U189" s="1025"/>
      <c r="W189" s="1020" t="s">
        <v>173</v>
      </c>
      <c r="X189" s="1021"/>
    </row>
    <row r="190" spans="1:24" ht="13" x14ac:dyDescent="0.25">
      <c r="A190" s="1034"/>
      <c r="B190" s="1022" t="s">
        <v>174</v>
      </c>
      <c r="C190" s="1022"/>
      <c r="D190" s="1022" t="s">
        <v>175</v>
      </c>
      <c r="E190" s="1022"/>
      <c r="F190" s="1022"/>
      <c r="G190" s="1022" t="s">
        <v>176</v>
      </c>
      <c r="I190" s="1022" t="s">
        <v>177</v>
      </c>
      <c r="J190" s="1022"/>
      <c r="K190" s="1022" t="s">
        <v>175</v>
      </c>
      <c r="L190" s="1022"/>
      <c r="M190" s="1022"/>
      <c r="N190" s="1022" t="s">
        <v>176</v>
      </c>
      <c r="P190" s="1022" t="s">
        <v>178</v>
      </c>
      <c r="Q190" s="1022"/>
      <c r="R190" s="1022" t="s">
        <v>175</v>
      </c>
      <c r="S190" s="1022"/>
      <c r="T190" s="1022"/>
      <c r="U190" s="1022" t="s">
        <v>176</v>
      </c>
      <c r="W190" s="544" t="s">
        <v>174</v>
      </c>
      <c r="X190" s="545">
        <v>0.3</v>
      </c>
    </row>
    <row r="191" spans="1:24" ht="14.5" x14ac:dyDescent="0.25">
      <c r="A191" s="1034"/>
      <c r="B191" s="1024" t="s">
        <v>388</v>
      </c>
      <c r="C191" s="1024"/>
      <c r="D191" s="547">
        <v>2020</v>
      </c>
      <c r="E191" s="548" t="s">
        <v>180</v>
      </c>
      <c r="F191" s="548" t="s">
        <v>180</v>
      </c>
      <c r="G191" s="1022"/>
      <c r="I191" s="1023" t="s">
        <v>19</v>
      </c>
      <c r="J191" s="1024"/>
      <c r="K191" s="547">
        <f>D191</f>
        <v>2020</v>
      </c>
      <c r="L191" s="547" t="str">
        <f>E191</f>
        <v>-</v>
      </c>
      <c r="M191" s="547" t="str">
        <f>F191</f>
        <v>-</v>
      </c>
      <c r="N191" s="1022"/>
      <c r="P191" s="1023" t="s">
        <v>179</v>
      </c>
      <c r="Q191" s="1024"/>
      <c r="R191" s="547">
        <f>K191</f>
        <v>2020</v>
      </c>
      <c r="S191" s="547" t="str">
        <f>L191</f>
        <v>-</v>
      </c>
      <c r="T191" s="547" t="str">
        <f>M191</f>
        <v>-</v>
      </c>
      <c r="U191" s="1022"/>
      <c r="W191" s="544" t="s">
        <v>19</v>
      </c>
      <c r="X191" s="545">
        <v>1.6</v>
      </c>
    </row>
    <row r="192" spans="1:24" ht="13" thickBot="1" x14ac:dyDescent="0.3">
      <c r="A192" s="1034"/>
      <c r="B192" s="457">
        <v>1</v>
      </c>
      <c r="C192" s="549">
        <v>15</v>
      </c>
      <c r="D192" s="549">
        <v>9.9999999999999995E-7</v>
      </c>
      <c r="E192" s="549" t="s">
        <v>180</v>
      </c>
      <c r="F192" s="550" t="s">
        <v>180</v>
      </c>
      <c r="G192" s="551">
        <f>0.5*(MAX(D192:F192)-MIN(D192:F192))</f>
        <v>0</v>
      </c>
      <c r="I192" s="457">
        <v>1</v>
      </c>
      <c r="J192" s="549">
        <v>30</v>
      </c>
      <c r="K192" s="549">
        <v>-0.4</v>
      </c>
      <c r="L192" s="549" t="s">
        <v>180</v>
      </c>
      <c r="M192" s="550" t="s">
        <v>180</v>
      </c>
      <c r="N192" s="551">
        <f>0.5*(MAX(K192:M192)-MIN(K192:M192))</f>
        <v>0</v>
      </c>
      <c r="P192" s="457">
        <v>1</v>
      </c>
      <c r="Q192" s="549">
        <v>800</v>
      </c>
      <c r="R192" s="550">
        <v>-1.5</v>
      </c>
      <c r="S192" s="549" t="s">
        <v>180</v>
      </c>
      <c r="T192" s="550" t="s">
        <v>180</v>
      </c>
      <c r="U192" s="551">
        <f>0.5*(MAX(R192:T192)-MIN(R192:T192))</f>
        <v>0</v>
      </c>
      <c r="W192" s="552" t="s">
        <v>179</v>
      </c>
      <c r="X192" s="553">
        <v>2.4</v>
      </c>
    </row>
    <row r="193" spans="1:24" x14ac:dyDescent="0.25">
      <c r="A193" s="1034"/>
      <c r="B193" s="457">
        <v>2</v>
      </c>
      <c r="C193" s="549">
        <v>20</v>
      </c>
      <c r="D193" s="549">
        <v>-0.1</v>
      </c>
      <c r="E193" s="549" t="s">
        <v>180</v>
      </c>
      <c r="F193" s="550" t="s">
        <v>180</v>
      </c>
      <c r="G193" s="551">
        <f t="shared" ref="G193:G198" si="51">0.5*(MAX(D193:F193)-MIN(D193:F193))</f>
        <v>0</v>
      </c>
      <c r="I193" s="457">
        <v>2</v>
      </c>
      <c r="J193" s="549">
        <v>40</v>
      </c>
      <c r="K193" s="549">
        <v>-0.2</v>
      </c>
      <c r="L193" s="549" t="s">
        <v>180</v>
      </c>
      <c r="M193" s="550" t="s">
        <v>180</v>
      </c>
      <c r="N193" s="551">
        <f t="shared" ref="N193:N198" si="52">0.5*(MAX(K193:M193)-MIN(K193:M193))</f>
        <v>0</v>
      </c>
      <c r="P193" s="457">
        <v>2</v>
      </c>
      <c r="Q193" s="549">
        <v>850</v>
      </c>
      <c r="R193" s="550">
        <v>-1.3</v>
      </c>
      <c r="S193" s="549" t="s">
        <v>180</v>
      </c>
      <c r="T193" s="550" t="s">
        <v>180</v>
      </c>
      <c r="U193" s="551">
        <f t="shared" ref="U193:U198" si="53">0.5*(MAX(R193:T193)-MIN(R193:T193))</f>
        <v>0</v>
      </c>
    </row>
    <row r="194" spans="1:24" x14ac:dyDescent="0.25">
      <c r="A194" s="1034"/>
      <c r="B194" s="457">
        <v>3</v>
      </c>
      <c r="C194" s="549">
        <v>25</v>
      </c>
      <c r="D194" s="549">
        <v>-0.2</v>
      </c>
      <c r="E194" s="549" t="s">
        <v>180</v>
      </c>
      <c r="F194" s="550" t="s">
        <v>180</v>
      </c>
      <c r="G194" s="551">
        <f t="shared" si="51"/>
        <v>0</v>
      </c>
      <c r="I194" s="457">
        <v>3</v>
      </c>
      <c r="J194" s="549">
        <v>50</v>
      </c>
      <c r="K194" s="549">
        <v>-0.2</v>
      </c>
      <c r="L194" s="549" t="s">
        <v>180</v>
      </c>
      <c r="M194" s="550" t="s">
        <v>180</v>
      </c>
      <c r="N194" s="551">
        <f t="shared" si="52"/>
        <v>0</v>
      </c>
      <c r="P194" s="457">
        <v>3</v>
      </c>
      <c r="Q194" s="554">
        <v>900</v>
      </c>
      <c r="R194" s="555">
        <v>-1.1000000000000001</v>
      </c>
      <c r="S194" s="549" t="s">
        <v>180</v>
      </c>
      <c r="T194" s="550" t="s">
        <v>180</v>
      </c>
      <c r="U194" s="551">
        <f t="shared" si="53"/>
        <v>0</v>
      </c>
    </row>
    <row r="195" spans="1:24" x14ac:dyDescent="0.25">
      <c r="A195" s="1034"/>
      <c r="B195" s="457">
        <v>4</v>
      </c>
      <c r="C195" s="554">
        <v>30</v>
      </c>
      <c r="D195" s="554">
        <v>-0.2</v>
      </c>
      <c r="E195" s="555" t="s">
        <v>180</v>
      </c>
      <c r="F195" s="550" t="s">
        <v>180</v>
      </c>
      <c r="G195" s="551">
        <f t="shared" si="51"/>
        <v>0</v>
      </c>
      <c r="I195" s="457">
        <v>4</v>
      </c>
      <c r="J195" s="554">
        <v>60</v>
      </c>
      <c r="K195" s="554">
        <v>-0.2</v>
      </c>
      <c r="L195" s="555" t="s">
        <v>180</v>
      </c>
      <c r="M195" s="550" t="s">
        <v>180</v>
      </c>
      <c r="N195" s="551">
        <f t="shared" si="52"/>
        <v>0</v>
      </c>
      <c r="P195" s="457">
        <v>4</v>
      </c>
      <c r="Q195" s="554">
        <v>950</v>
      </c>
      <c r="R195" s="555">
        <v>-0.9</v>
      </c>
      <c r="S195" s="555" t="s">
        <v>180</v>
      </c>
      <c r="T195" s="550" t="s">
        <v>180</v>
      </c>
      <c r="U195" s="551">
        <f t="shared" si="53"/>
        <v>0</v>
      </c>
    </row>
    <row r="196" spans="1:24" x14ac:dyDescent="0.25">
      <c r="A196" s="1034"/>
      <c r="B196" s="457">
        <v>5</v>
      </c>
      <c r="C196" s="554">
        <v>35</v>
      </c>
      <c r="D196" s="554">
        <v>-0.3</v>
      </c>
      <c r="E196" s="555" t="s">
        <v>180</v>
      </c>
      <c r="F196" s="550" t="s">
        <v>180</v>
      </c>
      <c r="G196" s="551">
        <f t="shared" si="51"/>
        <v>0</v>
      </c>
      <c r="I196" s="457">
        <v>5</v>
      </c>
      <c r="J196" s="554">
        <v>70</v>
      </c>
      <c r="K196" s="554">
        <v>-0.3</v>
      </c>
      <c r="L196" s="555" t="s">
        <v>180</v>
      </c>
      <c r="M196" s="550" t="s">
        <v>180</v>
      </c>
      <c r="N196" s="551">
        <f t="shared" si="52"/>
        <v>0</v>
      </c>
      <c r="P196" s="457">
        <v>5</v>
      </c>
      <c r="Q196" s="554">
        <v>1000</v>
      </c>
      <c r="R196" s="555">
        <v>-0.8</v>
      </c>
      <c r="S196" s="555" t="s">
        <v>180</v>
      </c>
      <c r="T196" s="550" t="s">
        <v>180</v>
      </c>
      <c r="U196" s="551">
        <f t="shared" si="53"/>
        <v>0</v>
      </c>
    </row>
    <row r="197" spans="1:24" x14ac:dyDescent="0.25">
      <c r="A197" s="1034"/>
      <c r="B197" s="457">
        <v>6</v>
      </c>
      <c r="C197" s="554">
        <v>37</v>
      </c>
      <c r="D197" s="554">
        <v>-0.3</v>
      </c>
      <c r="E197" s="555" t="s">
        <v>180</v>
      </c>
      <c r="F197" s="550" t="s">
        <v>180</v>
      </c>
      <c r="G197" s="551">
        <f t="shared" si="51"/>
        <v>0</v>
      </c>
      <c r="I197" s="457">
        <v>6</v>
      </c>
      <c r="J197" s="554">
        <v>80</v>
      </c>
      <c r="K197" s="554">
        <v>-0.5</v>
      </c>
      <c r="L197" s="555" t="s">
        <v>180</v>
      </c>
      <c r="M197" s="550" t="s">
        <v>180</v>
      </c>
      <c r="N197" s="551">
        <f t="shared" si="52"/>
        <v>0</v>
      </c>
      <c r="P197" s="457">
        <v>6</v>
      </c>
      <c r="Q197" s="554">
        <v>1005</v>
      </c>
      <c r="R197" s="555">
        <v>-0.7</v>
      </c>
      <c r="S197" s="555" t="s">
        <v>180</v>
      </c>
      <c r="T197" s="550" t="s">
        <v>180</v>
      </c>
      <c r="U197" s="551">
        <f t="shared" si="53"/>
        <v>0</v>
      </c>
    </row>
    <row r="198" spans="1:24" x14ac:dyDescent="0.25">
      <c r="A198" s="1034"/>
      <c r="B198" s="457">
        <v>7</v>
      </c>
      <c r="C198" s="554">
        <v>40</v>
      </c>
      <c r="D198" s="554">
        <v>-0.4</v>
      </c>
      <c r="E198" s="555" t="s">
        <v>180</v>
      </c>
      <c r="F198" s="550" t="s">
        <v>180</v>
      </c>
      <c r="G198" s="551">
        <f t="shared" si="51"/>
        <v>0</v>
      </c>
      <c r="I198" s="457">
        <v>7</v>
      </c>
      <c r="J198" s="554">
        <v>90</v>
      </c>
      <c r="K198" s="554">
        <v>-0.8</v>
      </c>
      <c r="L198" s="555" t="s">
        <v>180</v>
      </c>
      <c r="M198" s="550" t="s">
        <v>180</v>
      </c>
      <c r="N198" s="551">
        <f t="shared" si="52"/>
        <v>0</v>
      </c>
      <c r="P198" s="457">
        <v>7</v>
      </c>
      <c r="Q198" s="554">
        <v>1020</v>
      </c>
      <c r="R198" s="555">
        <v>9.9999999999999995E-7</v>
      </c>
      <c r="S198" s="555" t="s">
        <v>180</v>
      </c>
      <c r="T198" s="550" t="s">
        <v>180</v>
      </c>
      <c r="U198" s="551">
        <f t="shared" si="53"/>
        <v>0</v>
      </c>
    </row>
    <row r="199" spans="1:24" ht="13" thickBot="1" x14ac:dyDescent="0.3">
      <c r="A199" s="558"/>
      <c r="C199" s="469"/>
      <c r="D199" s="469"/>
      <c r="E199" s="562"/>
      <c r="F199" s="469"/>
      <c r="I199" s="469"/>
      <c r="J199" s="469"/>
      <c r="K199" s="562"/>
      <c r="L199" s="469"/>
      <c r="O199" s="469"/>
      <c r="P199" s="562"/>
      <c r="Q199" s="562"/>
      <c r="R199" s="469"/>
    </row>
    <row r="200" spans="1:24" x14ac:dyDescent="0.25">
      <c r="A200" s="1034">
        <v>19</v>
      </c>
      <c r="B200" s="1025" t="s">
        <v>389</v>
      </c>
      <c r="C200" s="1025"/>
      <c r="D200" s="1025"/>
      <c r="E200" s="1025"/>
      <c r="F200" s="1025"/>
      <c r="G200" s="1025"/>
      <c r="I200" s="1025" t="str">
        <f>B200</f>
        <v>KOREKSI EXTECH A.100615</v>
      </c>
      <c r="J200" s="1025"/>
      <c r="K200" s="1025"/>
      <c r="L200" s="1025"/>
      <c r="M200" s="1025"/>
      <c r="N200" s="1025"/>
      <c r="P200" s="1025" t="str">
        <f>I200</f>
        <v>KOREKSI EXTECH A.100615</v>
      </c>
      <c r="Q200" s="1025"/>
      <c r="R200" s="1025"/>
      <c r="S200" s="1025"/>
      <c r="T200" s="1025"/>
      <c r="U200" s="1025"/>
      <c r="W200" s="1020" t="s">
        <v>173</v>
      </c>
      <c r="X200" s="1021"/>
    </row>
    <row r="201" spans="1:24" ht="13" x14ac:dyDescent="0.25">
      <c r="A201" s="1034"/>
      <c r="B201" s="1022" t="s">
        <v>174</v>
      </c>
      <c r="C201" s="1022"/>
      <c r="D201" s="1022" t="s">
        <v>175</v>
      </c>
      <c r="E201" s="1022"/>
      <c r="F201" s="1022"/>
      <c r="G201" s="1022" t="s">
        <v>176</v>
      </c>
      <c r="I201" s="1022" t="s">
        <v>177</v>
      </c>
      <c r="J201" s="1022"/>
      <c r="K201" s="1022" t="s">
        <v>175</v>
      </c>
      <c r="L201" s="1022"/>
      <c r="M201" s="1022"/>
      <c r="N201" s="1022" t="s">
        <v>176</v>
      </c>
      <c r="P201" s="1022" t="s">
        <v>178</v>
      </c>
      <c r="Q201" s="1022"/>
      <c r="R201" s="1022" t="s">
        <v>175</v>
      </c>
      <c r="S201" s="1022"/>
      <c r="T201" s="1022"/>
      <c r="U201" s="1022" t="s">
        <v>176</v>
      </c>
      <c r="W201" s="544" t="s">
        <v>174</v>
      </c>
      <c r="X201" s="545">
        <v>0.1</v>
      </c>
    </row>
    <row r="202" spans="1:24" ht="14.5" x14ac:dyDescent="0.25">
      <c r="A202" s="1034"/>
      <c r="B202" s="1024" t="s">
        <v>388</v>
      </c>
      <c r="C202" s="1024"/>
      <c r="D202" s="547">
        <v>2021</v>
      </c>
      <c r="E202" s="548" t="s">
        <v>180</v>
      </c>
      <c r="F202" s="548" t="s">
        <v>180</v>
      </c>
      <c r="G202" s="1022"/>
      <c r="I202" s="1023" t="s">
        <v>19</v>
      </c>
      <c r="J202" s="1024"/>
      <c r="K202" s="547">
        <f>D202</f>
        <v>2021</v>
      </c>
      <c r="L202" s="547" t="str">
        <f>E202</f>
        <v>-</v>
      </c>
      <c r="M202" s="547" t="str">
        <f>F202</f>
        <v>-</v>
      </c>
      <c r="N202" s="1022"/>
      <c r="P202" s="1023" t="s">
        <v>179</v>
      </c>
      <c r="Q202" s="1024"/>
      <c r="R202" s="547">
        <f>K202</f>
        <v>2021</v>
      </c>
      <c r="S202" s="547" t="str">
        <f>L202</f>
        <v>-</v>
      </c>
      <c r="T202" s="547" t="str">
        <f>M202</f>
        <v>-</v>
      </c>
      <c r="U202" s="1022"/>
      <c r="W202" s="544" t="s">
        <v>19</v>
      </c>
      <c r="X202" s="545">
        <v>1.5</v>
      </c>
    </row>
    <row r="203" spans="1:24" ht="13" thickBot="1" x14ac:dyDescent="0.3">
      <c r="A203" s="1034"/>
      <c r="B203" s="457">
        <v>1</v>
      </c>
      <c r="C203" s="549">
        <v>15</v>
      </c>
      <c r="D203" s="549">
        <v>9.9999999999999995E-7</v>
      </c>
      <c r="E203" s="549" t="s">
        <v>180</v>
      </c>
      <c r="F203" s="550" t="s">
        <v>180</v>
      </c>
      <c r="G203" s="551">
        <f>0.5*(MAX(D203:F203)-MIN(D203:F203))</f>
        <v>0</v>
      </c>
      <c r="I203" s="457">
        <v>1</v>
      </c>
      <c r="J203" s="549">
        <v>30</v>
      </c>
      <c r="K203" s="549">
        <v>-1.5</v>
      </c>
      <c r="L203" s="549" t="s">
        <v>180</v>
      </c>
      <c r="M203" s="550" t="s">
        <v>180</v>
      </c>
      <c r="N203" s="551">
        <f>0.5*(MAX(K203:M203)-MIN(K203:M203))</f>
        <v>0</v>
      </c>
      <c r="P203" s="457">
        <v>1</v>
      </c>
      <c r="Q203" s="549">
        <v>750</v>
      </c>
      <c r="R203" s="550">
        <v>2.5</v>
      </c>
      <c r="S203" s="549" t="s">
        <v>180</v>
      </c>
      <c r="T203" s="550" t="s">
        <v>180</v>
      </c>
      <c r="U203" s="551">
        <f>0.5*(MAX(R203:T203)-MIN(R203:T203))</f>
        <v>0</v>
      </c>
      <c r="W203" s="552" t="s">
        <v>179</v>
      </c>
      <c r="X203" s="553">
        <v>0.4</v>
      </c>
    </row>
    <row r="204" spans="1:24" x14ac:dyDescent="0.25">
      <c r="A204" s="1034"/>
      <c r="B204" s="457">
        <v>2</v>
      </c>
      <c r="C204" s="549">
        <v>20</v>
      </c>
      <c r="D204" s="549">
        <v>0.1</v>
      </c>
      <c r="E204" s="549" t="s">
        <v>180</v>
      </c>
      <c r="F204" s="550" t="s">
        <v>180</v>
      </c>
      <c r="G204" s="551">
        <f t="shared" ref="G204:G209" si="54">0.5*(MAX(D204:F204)-MIN(D204:F204))</f>
        <v>0</v>
      </c>
      <c r="I204" s="457">
        <v>2</v>
      </c>
      <c r="J204" s="549">
        <v>40</v>
      </c>
      <c r="K204" s="549">
        <v>-0.8</v>
      </c>
      <c r="L204" s="549" t="s">
        <v>180</v>
      </c>
      <c r="M204" s="550" t="s">
        <v>180</v>
      </c>
      <c r="N204" s="551">
        <f t="shared" ref="N204:N209" si="55">0.5*(MAX(K204:M204)-MIN(K204:M204))</f>
        <v>0</v>
      </c>
      <c r="P204" s="457">
        <v>2</v>
      </c>
      <c r="Q204" s="549">
        <v>800</v>
      </c>
      <c r="R204" s="550">
        <v>2.5</v>
      </c>
      <c r="S204" s="549" t="s">
        <v>180</v>
      </c>
      <c r="T204" s="550" t="s">
        <v>180</v>
      </c>
      <c r="U204" s="551">
        <f t="shared" ref="U204:U209" si="56">0.5*(MAX(R204:T204)-MIN(R204:T204))</f>
        <v>0</v>
      </c>
    </row>
    <row r="205" spans="1:24" x14ac:dyDescent="0.25">
      <c r="A205" s="1034"/>
      <c r="B205" s="457">
        <v>3</v>
      </c>
      <c r="C205" s="549">
        <v>25</v>
      </c>
      <c r="D205" s="549">
        <v>9.9999999999999995E-7</v>
      </c>
      <c r="E205" s="549" t="s">
        <v>180</v>
      </c>
      <c r="F205" s="550" t="s">
        <v>180</v>
      </c>
      <c r="G205" s="551">
        <f t="shared" si="54"/>
        <v>0</v>
      </c>
      <c r="I205" s="457">
        <v>3</v>
      </c>
      <c r="J205" s="549">
        <v>50</v>
      </c>
      <c r="K205" s="549">
        <v>-0.2</v>
      </c>
      <c r="L205" s="549" t="s">
        <v>180</v>
      </c>
      <c r="M205" s="550" t="s">
        <v>180</v>
      </c>
      <c r="N205" s="551">
        <f t="shared" si="55"/>
        <v>0</v>
      </c>
      <c r="P205" s="457">
        <v>3</v>
      </c>
      <c r="Q205" s="549">
        <v>850</v>
      </c>
      <c r="R205" s="550">
        <v>2.4</v>
      </c>
      <c r="S205" s="549" t="s">
        <v>180</v>
      </c>
      <c r="T205" s="550" t="s">
        <v>180</v>
      </c>
      <c r="U205" s="551">
        <f t="shared" si="56"/>
        <v>0</v>
      </c>
    </row>
    <row r="206" spans="1:24" x14ac:dyDescent="0.25">
      <c r="A206" s="1034"/>
      <c r="B206" s="457">
        <v>4</v>
      </c>
      <c r="C206" s="554">
        <v>30</v>
      </c>
      <c r="D206" s="554">
        <v>-0.1</v>
      </c>
      <c r="E206" s="555" t="s">
        <v>180</v>
      </c>
      <c r="F206" s="550" t="s">
        <v>180</v>
      </c>
      <c r="G206" s="551">
        <f t="shared" si="54"/>
        <v>0</v>
      </c>
      <c r="I206" s="457">
        <v>4</v>
      </c>
      <c r="J206" s="554">
        <v>60</v>
      </c>
      <c r="K206" s="554">
        <v>0.4</v>
      </c>
      <c r="L206" s="555" t="s">
        <v>180</v>
      </c>
      <c r="M206" s="550" t="s">
        <v>180</v>
      </c>
      <c r="N206" s="551">
        <f t="shared" si="55"/>
        <v>0</v>
      </c>
      <c r="P206" s="457">
        <v>4</v>
      </c>
      <c r="Q206" s="554">
        <v>900</v>
      </c>
      <c r="R206" s="555">
        <v>2.2999999999999998</v>
      </c>
      <c r="S206" s="555" t="s">
        <v>180</v>
      </c>
      <c r="T206" s="550" t="s">
        <v>180</v>
      </c>
      <c r="U206" s="551">
        <f t="shared" si="56"/>
        <v>0</v>
      </c>
    </row>
    <row r="207" spans="1:24" x14ac:dyDescent="0.25">
      <c r="A207" s="1034"/>
      <c r="B207" s="457">
        <v>5</v>
      </c>
      <c r="C207" s="554">
        <v>35</v>
      </c>
      <c r="D207" s="554">
        <v>-0.1</v>
      </c>
      <c r="E207" s="555" t="s">
        <v>180</v>
      </c>
      <c r="F207" s="550" t="s">
        <v>180</v>
      </c>
      <c r="G207" s="551">
        <f t="shared" si="54"/>
        <v>0</v>
      </c>
      <c r="I207" s="457">
        <v>5</v>
      </c>
      <c r="J207" s="554">
        <v>70</v>
      </c>
      <c r="K207" s="554">
        <v>-0.7</v>
      </c>
      <c r="L207" s="555" t="s">
        <v>180</v>
      </c>
      <c r="M207" s="550" t="s">
        <v>180</v>
      </c>
      <c r="N207" s="551">
        <f t="shared" si="55"/>
        <v>0</v>
      </c>
      <c r="P207" s="457">
        <v>5</v>
      </c>
      <c r="Q207" s="554">
        <v>1000</v>
      </c>
      <c r="R207" s="555">
        <v>2.2000000000000002</v>
      </c>
      <c r="S207" s="555" t="s">
        <v>180</v>
      </c>
      <c r="T207" s="550" t="s">
        <v>180</v>
      </c>
      <c r="U207" s="551">
        <f t="shared" si="56"/>
        <v>0</v>
      </c>
    </row>
    <row r="208" spans="1:24" x14ac:dyDescent="0.25">
      <c r="A208" s="1034"/>
      <c r="B208" s="457">
        <v>6</v>
      </c>
      <c r="C208" s="554">
        <v>37</v>
      </c>
      <c r="D208" s="554">
        <v>9.9999999999999995E-7</v>
      </c>
      <c r="E208" s="555" t="s">
        <v>180</v>
      </c>
      <c r="F208" s="550" t="s">
        <v>180</v>
      </c>
      <c r="G208" s="551">
        <f t="shared" si="54"/>
        <v>0</v>
      </c>
      <c r="I208" s="457">
        <v>6</v>
      </c>
      <c r="J208" s="554">
        <v>80</v>
      </c>
      <c r="K208" s="554">
        <v>-0.9</v>
      </c>
      <c r="L208" s="555" t="s">
        <v>180</v>
      </c>
      <c r="M208" s="550" t="s">
        <v>180</v>
      </c>
      <c r="N208" s="551">
        <f t="shared" si="55"/>
        <v>0</v>
      </c>
      <c r="P208" s="457">
        <v>6</v>
      </c>
      <c r="Q208" s="554">
        <v>1005</v>
      </c>
      <c r="R208" s="555">
        <v>2.2000000000000002</v>
      </c>
      <c r="S208" s="555" t="s">
        <v>180</v>
      </c>
      <c r="T208" s="550" t="s">
        <v>180</v>
      </c>
      <c r="U208" s="551">
        <f t="shared" si="56"/>
        <v>0</v>
      </c>
    </row>
    <row r="209" spans="1:31" x14ac:dyDescent="0.25">
      <c r="A209" s="1034"/>
      <c r="B209" s="457">
        <v>7</v>
      </c>
      <c r="C209" s="554">
        <v>40</v>
      </c>
      <c r="D209" s="554">
        <v>0.2</v>
      </c>
      <c r="E209" s="555" t="s">
        <v>180</v>
      </c>
      <c r="F209" s="550" t="s">
        <v>180</v>
      </c>
      <c r="G209" s="551">
        <f t="shared" si="54"/>
        <v>0</v>
      </c>
      <c r="I209" s="457">
        <v>7</v>
      </c>
      <c r="J209" s="554">
        <v>90</v>
      </c>
      <c r="K209" s="554">
        <v>-0.6</v>
      </c>
      <c r="L209" s="555" t="s">
        <v>180</v>
      </c>
      <c r="M209" s="550" t="s">
        <v>180</v>
      </c>
      <c r="N209" s="551">
        <f t="shared" si="55"/>
        <v>0</v>
      </c>
      <c r="P209" s="457">
        <v>7</v>
      </c>
      <c r="Q209" s="554">
        <v>1020</v>
      </c>
      <c r="R209" s="555">
        <v>2.2999999999999998</v>
      </c>
      <c r="S209" s="555" t="s">
        <v>180</v>
      </c>
      <c r="T209" s="550" t="s">
        <v>180</v>
      </c>
      <c r="U209" s="551">
        <f t="shared" si="56"/>
        <v>0</v>
      </c>
    </row>
    <row r="210" spans="1:31" ht="13" thickBot="1" x14ac:dyDescent="0.3">
      <c r="A210" s="558"/>
      <c r="C210" s="469"/>
      <c r="D210" s="469"/>
      <c r="E210" s="562"/>
      <c r="F210" s="469"/>
      <c r="J210" s="469"/>
      <c r="K210" s="469"/>
      <c r="L210" s="562"/>
      <c r="M210" s="469"/>
      <c r="Q210" s="469"/>
      <c r="R210" s="562"/>
      <c r="S210" s="562"/>
      <c r="T210" s="469"/>
    </row>
    <row r="211" spans="1:31" x14ac:dyDescent="0.25">
      <c r="A211" s="1034">
        <v>20</v>
      </c>
      <c r="B211" s="1035">
        <v>20</v>
      </c>
      <c r="C211" s="1035"/>
      <c r="D211" s="1035"/>
      <c r="E211" s="1035"/>
      <c r="F211" s="1035"/>
      <c r="G211" s="1035"/>
      <c r="H211" s="563"/>
      <c r="I211" s="1035">
        <f>B211</f>
        <v>20</v>
      </c>
      <c r="J211" s="1035"/>
      <c r="K211" s="1035"/>
      <c r="L211" s="1035"/>
      <c r="M211" s="1035"/>
      <c r="N211" s="1035"/>
      <c r="O211" s="563"/>
      <c r="P211" s="1035">
        <f>I211</f>
        <v>20</v>
      </c>
      <c r="Q211" s="1035"/>
      <c r="R211" s="1035"/>
      <c r="S211" s="1035"/>
      <c r="T211" s="1035"/>
      <c r="U211" s="1035"/>
      <c r="W211" s="1020" t="s">
        <v>173</v>
      </c>
      <c r="X211" s="1021"/>
    </row>
    <row r="212" spans="1:31" ht="13" x14ac:dyDescent="0.25">
      <c r="A212" s="1034"/>
      <c r="B212" s="1022" t="s">
        <v>174</v>
      </c>
      <c r="C212" s="1022"/>
      <c r="D212" s="1022" t="s">
        <v>175</v>
      </c>
      <c r="E212" s="1022"/>
      <c r="F212" s="1022"/>
      <c r="G212" s="1022" t="s">
        <v>176</v>
      </c>
      <c r="I212" s="1022" t="s">
        <v>177</v>
      </c>
      <c r="J212" s="1022"/>
      <c r="K212" s="1022" t="s">
        <v>175</v>
      </c>
      <c r="L212" s="1022"/>
      <c r="M212" s="1022"/>
      <c r="N212" s="1022" t="s">
        <v>176</v>
      </c>
      <c r="P212" s="1022" t="s">
        <v>178</v>
      </c>
      <c r="Q212" s="1022"/>
      <c r="R212" s="1022" t="s">
        <v>175</v>
      </c>
      <c r="S212" s="1022"/>
      <c r="T212" s="1022"/>
      <c r="U212" s="1022" t="s">
        <v>176</v>
      </c>
      <c r="W212" s="544" t="s">
        <v>174</v>
      </c>
      <c r="X212" s="545">
        <v>0</v>
      </c>
    </row>
    <row r="213" spans="1:31" ht="14.5" x14ac:dyDescent="0.25">
      <c r="A213" s="1034"/>
      <c r="B213" s="1024" t="s">
        <v>388</v>
      </c>
      <c r="C213" s="1024"/>
      <c r="D213" s="547">
        <v>2017</v>
      </c>
      <c r="E213" s="548" t="s">
        <v>180</v>
      </c>
      <c r="F213" s="548" t="s">
        <v>180</v>
      </c>
      <c r="G213" s="1022"/>
      <c r="I213" s="1023" t="s">
        <v>19</v>
      </c>
      <c r="J213" s="1024"/>
      <c r="K213" s="547">
        <f>D213</f>
        <v>2017</v>
      </c>
      <c r="L213" s="547" t="str">
        <f>E213</f>
        <v>-</v>
      </c>
      <c r="M213" s="547" t="str">
        <f>F213</f>
        <v>-</v>
      </c>
      <c r="N213" s="1022"/>
      <c r="P213" s="1023" t="s">
        <v>179</v>
      </c>
      <c r="Q213" s="1024"/>
      <c r="R213" s="547">
        <f>K213</f>
        <v>2017</v>
      </c>
      <c r="S213" s="547" t="str">
        <f>L213</f>
        <v>-</v>
      </c>
      <c r="T213" s="547" t="str">
        <f>M213</f>
        <v>-</v>
      </c>
      <c r="U213" s="1022"/>
      <c r="W213" s="544" t="s">
        <v>19</v>
      </c>
      <c r="X213" s="545">
        <v>0</v>
      </c>
    </row>
    <row r="214" spans="1:31" ht="13" thickBot="1" x14ac:dyDescent="0.3">
      <c r="A214" s="1034"/>
      <c r="B214" s="457">
        <v>1</v>
      </c>
      <c r="C214" s="549">
        <v>14.8</v>
      </c>
      <c r="D214" s="549">
        <v>9.9999999999999995E-7</v>
      </c>
      <c r="E214" s="549" t="s">
        <v>180</v>
      </c>
      <c r="F214" s="550" t="s">
        <v>180</v>
      </c>
      <c r="G214" s="551">
        <f>0.5*(MAX(D214:F214)-MIN(D214:F214))</f>
        <v>0</v>
      </c>
      <c r="I214" s="457">
        <v>1</v>
      </c>
      <c r="J214" s="549">
        <v>45.7</v>
      </c>
      <c r="K214" s="549">
        <v>9.9999999999999995E-7</v>
      </c>
      <c r="L214" s="549" t="s">
        <v>180</v>
      </c>
      <c r="M214" s="550" t="s">
        <v>180</v>
      </c>
      <c r="N214" s="551">
        <f>0.5*(MAX(K214:M214)-MIN(K214:M214))</f>
        <v>0</v>
      </c>
      <c r="P214" s="457">
        <v>1</v>
      </c>
      <c r="Q214" s="549">
        <v>750</v>
      </c>
      <c r="R214" s="550">
        <v>9.9999999999999995E-7</v>
      </c>
      <c r="S214" s="549" t="s">
        <v>180</v>
      </c>
      <c r="T214" s="550" t="s">
        <v>180</v>
      </c>
      <c r="U214" s="551">
        <f>0.5*(MAX(R214:T214)-MIN(R214:T214))</f>
        <v>0</v>
      </c>
      <c r="W214" s="552" t="s">
        <v>179</v>
      </c>
      <c r="X214" s="553">
        <v>0</v>
      </c>
    </row>
    <row r="215" spans="1:31" x14ac:dyDescent="0.25">
      <c r="A215" s="1034"/>
      <c r="B215" s="457">
        <v>2</v>
      </c>
      <c r="C215" s="549">
        <v>19.7</v>
      </c>
      <c r="D215" s="549">
        <v>9.9999999999999995E-7</v>
      </c>
      <c r="E215" s="549" t="s">
        <v>180</v>
      </c>
      <c r="F215" s="550" t="s">
        <v>180</v>
      </c>
      <c r="G215" s="551">
        <f t="shared" ref="G215:G220" si="57">0.5*(MAX(D215:F215)-MIN(D215:F215))</f>
        <v>0</v>
      </c>
      <c r="I215" s="457">
        <v>2</v>
      </c>
      <c r="J215" s="549">
        <v>54.3</v>
      </c>
      <c r="K215" s="549">
        <v>9.9999999999999995E-7</v>
      </c>
      <c r="L215" s="549" t="s">
        <v>180</v>
      </c>
      <c r="M215" s="550" t="s">
        <v>180</v>
      </c>
      <c r="N215" s="551">
        <f t="shared" ref="N215:N220" si="58">0.5*(MAX(K215:M215)-MIN(K215:M215))</f>
        <v>0</v>
      </c>
      <c r="P215" s="457">
        <v>2</v>
      </c>
      <c r="Q215" s="549">
        <v>800</v>
      </c>
      <c r="R215" s="550">
        <v>9.9999999999999995E-7</v>
      </c>
      <c r="S215" s="549" t="s">
        <v>180</v>
      </c>
      <c r="T215" s="550" t="s">
        <v>180</v>
      </c>
      <c r="U215" s="551">
        <f t="shared" ref="U215:U220" si="59">0.5*(MAX(R215:T215)-MIN(R215:T215))</f>
        <v>0</v>
      </c>
    </row>
    <row r="216" spans="1:31" x14ac:dyDescent="0.25">
      <c r="A216" s="1034"/>
      <c r="B216" s="457">
        <v>3</v>
      </c>
      <c r="C216" s="549">
        <v>24.6</v>
      </c>
      <c r="D216" s="549">
        <v>9.9999999999999995E-7</v>
      </c>
      <c r="E216" s="549" t="s">
        <v>180</v>
      </c>
      <c r="F216" s="550" t="s">
        <v>180</v>
      </c>
      <c r="G216" s="551">
        <f t="shared" si="57"/>
        <v>0</v>
      </c>
      <c r="I216" s="457">
        <v>3</v>
      </c>
      <c r="J216" s="549">
        <v>62.5</v>
      </c>
      <c r="K216" s="549">
        <v>9.9999999999999995E-7</v>
      </c>
      <c r="L216" s="549" t="s">
        <v>180</v>
      </c>
      <c r="M216" s="550" t="s">
        <v>180</v>
      </c>
      <c r="N216" s="551">
        <f t="shared" si="58"/>
        <v>0</v>
      </c>
      <c r="P216" s="457">
        <v>3</v>
      </c>
      <c r="Q216" s="549">
        <v>850</v>
      </c>
      <c r="R216" s="550">
        <v>9.9999999999999995E-7</v>
      </c>
      <c r="S216" s="549" t="s">
        <v>180</v>
      </c>
      <c r="T216" s="550" t="s">
        <v>180</v>
      </c>
      <c r="U216" s="551">
        <f t="shared" si="59"/>
        <v>0</v>
      </c>
    </row>
    <row r="217" spans="1:31" x14ac:dyDescent="0.25">
      <c r="A217" s="1034"/>
      <c r="B217" s="457">
        <v>4</v>
      </c>
      <c r="C217" s="554">
        <v>29.5</v>
      </c>
      <c r="D217" s="549">
        <v>9.9999999999999995E-7</v>
      </c>
      <c r="E217" s="555" t="s">
        <v>180</v>
      </c>
      <c r="F217" s="550" t="s">
        <v>180</v>
      </c>
      <c r="G217" s="551">
        <f t="shared" si="57"/>
        <v>0</v>
      </c>
      <c r="I217" s="457">
        <v>4</v>
      </c>
      <c r="J217" s="554">
        <v>71.5</v>
      </c>
      <c r="K217" s="549">
        <v>9.9999999999999995E-7</v>
      </c>
      <c r="L217" s="555" t="s">
        <v>180</v>
      </c>
      <c r="M217" s="550" t="s">
        <v>180</v>
      </c>
      <c r="N217" s="551">
        <f t="shared" si="58"/>
        <v>0</v>
      </c>
      <c r="P217" s="457">
        <v>4</v>
      </c>
      <c r="Q217" s="554">
        <v>900</v>
      </c>
      <c r="R217" s="550">
        <v>9.9999999999999995E-7</v>
      </c>
      <c r="S217" s="555" t="s">
        <v>180</v>
      </c>
      <c r="T217" s="550" t="s">
        <v>180</v>
      </c>
      <c r="U217" s="551">
        <f t="shared" si="59"/>
        <v>0</v>
      </c>
    </row>
    <row r="218" spans="1:31" x14ac:dyDescent="0.25">
      <c r="A218" s="1034"/>
      <c r="B218" s="457">
        <v>5</v>
      </c>
      <c r="C218" s="554">
        <v>34.5</v>
      </c>
      <c r="D218" s="549">
        <v>9.9999999999999995E-7</v>
      </c>
      <c r="E218" s="555" t="s">
        <v>180</v>
      </c>
      <c r="F218" s="550" t="s">
        <v>180</v>
      </c>
      <c r="G218" s="551">
        <f t="shared" si="57"/>
        <v>0</v>
      </c>
      <c r="I218" s="457">
        <v>5</v>
      </c>
      <c r="J218" s="554">
        <v>80.8</v>
      </c>
      <c r="K218" s="549">
        <v>9.9999999999999995E-7</v>
      </c>
      <c r="L218" s="555" t="s">
        <v>180</v>
      </c>
      <c r="M218" s="550" t="s">
        <v>180</v>
      </c>
      <c r="N218" s="551">
        <f t="shared" si="58"/>
        <v>0</v>
      </c>
      <c r="P218" s="457">
        <v>5</v>
      </c>
      <c r="Q218" s="554">
        <v>1000</v>
      </c>
      <c r="R218" s="550">
        <v>9.9999999999999995E-7</v>
      </c>
      <c r="S218" s="555" t="s">
        <v>180</v>
      </c>
      <c r="T218" s="550" t="s">
        <v>180</v>
      </c>
      <c r="U218" s="551">
        <f t="shared" si="59"/>
        <v>0</v>
      </c>
    </row>
    <row r="219" spans="1:31" x14ac:dyDescent="0.25">
      <c r="A219" s="1034"/>
      <c r="B219" s="457">
        <v>6</v>
      </c>
      <c r="C219" s="554">
        <v>39.5</v>
      </c>
      <c r="D219" s="549">
        <v>9.9999999999999995E-7</v>
      </c>
      <c r="E219" s="555" t="s">
        <v>180</v>
      </c>
      <c r="F219" s="550" t="s">
        <v>180</v>
      </c>
      <c r="G219" s="551">
        <f t="shared" si="57"/>
        <v>0</v>
      </c>
      <c r="I219" s="457">
        <v>6</v>
      </c>
      <c r="J219" s="554">
        <v>88.7</v>
      </c>
      <c r="K219" s="549">
        <v>9.9999999999999995E-7</v>
      </c>
      <c r="L219" s="555" t="s">
        <v>180</v>
      </c>
      <c r="M219" s="550" t="s">
        <v>180</v>
      </c>
      <c r="N219" s="551">
        <f t="shared" si="58"/>
        <v>0</v>
      </c>
      <c r="P219" s="457">
        <v>6</v>
      </c>
      <c r="Q219" s="554">
        <v>1005</v>
      </c>
      <c r="R219" s="550">
        <v>9.9999999999999995E-7</v>
      </c>
      <c r="S219" s="555" t="s">
        <v>180</v>
      </c>
      <c r="T219" s="550" t="s">
        <v>180</v>
      </c>
      <c r="U219" s="551">
        <f t="shared" si="59"/>
        <v>0</v>
      </c>
    </row>
    <row r="220" spans="1:31" x14ac:dyDescent="0.25">
      <c r="A220" s="1034"/>
      <c r="B220" s="457">
        <v>7</v>
      </c>
      <c r="C220" s="554">
        <v>40</v>
      </c>
      <c r="D220" s="549">
        <v>9.9999999999999995E-7</v>
      </c>
      <c r="E220" s="555" t="s">
        <v>180</v>
      </c>
      <c r="F220" s="550" t="s">
        <v>180</v>
      </c>
      <c r="G220" s="551">
        <f t="shared" si="57"/>
        <v>0</v>
      </c>
      <c r="I220" s="457">
        <v>7</v>
      </c>
      <c r="J220" s="554">
        <v>90</v>
      </c>
      <c r="K220" s="549">
        <v>9.9999999999999995E-7</v>
      </c>
      <c r="L220" s="555" t="s">
        <v>180</v>
      </c>
      <c r="M220" s="550" t="s">
        <v>180</v>
      </c>
      <c r="N220" s="551">
        <f t="shared" si="58"/>
        <v>0</v>
      </c>
      <c r="P220" s="457">
        <v>7</v>
      </c>
      <c r="Q220" s="554">
        <v>1020</v>
      </c>
      <c r="R220" s="550">
        <v>9.9999999999999995E-7</v>
      </c>
      <c r="S220" s="555" t="s">
        <v>180</v>
      </c>
      <c r="T220" s="550" t="s">
        <v>180</v>
      </c>
      <c r="U220" s="551">
        <f t="shared" si="59"/>
        <v>0</v>
      </c>
    </row>
    <row r="221" spans="1:31" ht="13.5" thickBot="1" x14ac:dyDescent="0.35">
      <c r="A221" s="564"/>
      <c r="B221" s="1033"/>
      <c r="C221" s="1033"/>
      <c r="D221" s="1033"/>
      <c r="E221" s="1033"/>
      <c r="F221" s="1033"/>
      <c r="G221" s="1033"/>
      <c r="H221" s="1033"/>
      <c r="I221" s="1033"/>
      <c r="J221" s="1033"/>
      <c r="K221" s="1033"/>
      <c r="L221" s="1033"/>
      <c r="M221" s="1033"/>
      <c r="N221" s="1033"/>
      <c r="O221" s="1033"/>
      <c r="P221" s="1033"/>
      <c r="Q221" s="1033"/>
      <c r="R221" s="1033"/>
      <c r="S221" s="1033"/>
      <c r="T221" s="1033"/>
      <c r="U221" s="1033"/>
    </row>
    <row r="222" spans="1:31" ht="13" hidden="1" x14ac:dyDescent="0.3">
      <c r="A222" s="490"/>
      <c r="B222" s="490"/>
      <c r="C222" s="490"/>
      <c r="D222" s="490"/>
      <c r="E222" s="490"/>
      <c r="F222" s="490"/>
      <c r="G222" s="490"/>
      <c r="H222" s="490"/>
      <c r="I222" s="490"/>
      <c r="J222" s="490"/>
      <c r="K222" s="490"/>
      <c r="L222" s="490"/>
      <c r="M222" s="490"/>
      <c r="N222" s="490"/>
      <c r="O222" s="490"/>
      <c r="P222" s="490"/>
    </row>
    <row r="223" spans="1:31" ht="12.75" hidden="1" customHeight="1" x14ac:dyDescent="0.25">
      <c r="A223" s="998" t="s">
        <v>45</v>
      </c>
      <c r="B223" s="1029" t="s">
        <v>198</v>
      </c>
      <c r="C223" s="1025" t="s">
        <v>199</v>
      </c>
      <c r="D223" s="1025"/>
      <c r="E223" s="1025"/>
      <c r="F223" s="1025"/>
      <c r="G223" s="565"/>
      <c r="I223" s="998" t="s">
        <v>45</v>
      </c>
      <c r="J223" s="1029" t="s">
        <v>198</v>
      </c>
      <c r="K223" s="1025" t="s">
        <v>199</v>
      </c>
      <c r="L223" s="1025"/>
      <c r="M223" s="1025"/>
      <c r="N223" s="1025"/>
      <c r="O223" s="473"/>
      <c r="Q223" s="997" t="s">
        <v>45</v>
      </c>
      <c r="R223" s="1030" t="s">
        <v>198</v>
      </c>
      <c r="S223" s="1031" t="s">
        <v>199</v>
      </c>
      <c r="T223" s="1031"/>
      <c r="U223" s="1031"/>
      <c r="V223" s="1032"/>
      <c r="Y223" s="1010" t="s">
        <v>173</v>
      </c>
      <c r="Z223" s="1011"/>
      <c r="AE223" s="566"/>
    </row>
    <row r="224" spans="1:31" ht="13" hidden="1" x14ac:dyDescent="0.3">
      <c r="A224" s="998"/>
      <c r="B224" s="1029"/>
      <c r="C224" s="567" t="s">
        <v>174</v>
      </c>
      <c r="D224" s="1014" t="s">
        <v>175</v>
      </c>
      <c r="E224" s="1014"/>
      <c r="F224" s="1014"/>
      <c r="G224" s="1014" t="s">
        <v>176</v>
      </c>
      <c r="I224" s="998"/>
      <c r="J224" s="1029"/>
      <c r="K224" s="567" t="s">
        <v>177</v>
      </c>
      <c r="L224" s="1014" t="s">
        <v>175</v>
      </c>
      <c r="M224" s="1014"/>
      <c r="N224" s="1014"/>
      <c r="O224" s="1014" t="s">
        <v>176</v>
      </c>
      <c r="Q224" s="998"/>
      <c r="R224" s="1029"/>
      <c r="S224" s="567" t="s">
        <v>178</v>
      </c>
      <c r="T224" s="1015" t="s">
        <v>175</v>
      </c>
      <c r="U224" s="1016"/>
      <c r="V224" s="1017"/>
      <c r="W224" s="1018" t="s">
        <v>176</v>
      </c>
      <c r="Y224" s="1012" t="s">
        <v>174</v>
      </c>
      <c r="Z224" s="1013"/>
      <c r="AE224" s="490"/>
    </row>
    <row r="225" spans="1:38" ht="14" hidden="1" x14ac:dyDescent="0.3">
      <c r="A225" s="998"/>
      <c r="B225" s="1029"/>
      <c r="C225" s="546" t="s">
        <v>390</v>
      </c>
      <c r="D225" s="567"/>
      <c r="E225" s="567"/>
      <c r="F225" s="473"/>
      <c r="G225" s="1014"/>
      <c r="I225" s="998"/>
      <c r="J225" s="1029"/>
      <c r="K225" s="546" t="s">
        <v>19</v>
      </c>
      <c r="L225" s="567"/>
      <c r="M225" s="567"/>
      <c r="N225" s="473"/>
      <c r="O225" s="1014"/>
      <c r="Q225" s="998"/>
      <c r="R225" s="1029"/>
      <c r="S225" s="546" t="s">
        <v>179</v>
      </c>
      <c r="T225" s="567"/>
      <c r="U225" s="567"/>
      <c r="W225" s="1018"/>
      <c r="Y225" s="568">
        <v>1</v>
      </c>
      <c r="Z225" s="569">
        <f>X3</f>
        <v>0.6</v>
      </c>
      <c r="AE225" s="490"/>
    </row>
    <row r="226" spans="1:38" ht="13" hidden="1" x14ac:dyDescent="0.3">
      <c r="A226" s="998">
        <v>1</v>
      </c>
      <c r="B226" s="58">
        <v>1</v>
      </c>
      <c r="C226" s="58">
        <f>C5</f>
        <v>15</v>
      </c>
      <c r="D226" s="58">
        <f t="shared" ref="D226:F226" si="60">D5</f>
        <v>-0.5</v>
      </c>
      <c r="E226" s="58">
        <f t="shared" si="60"/>
        <v>0.3</v>
      </c>
      <c r="F226" s="58" t="str">
        <f t="shared" si="60"/>
        <v>-</v>
      </c>
      <c r="G226" s="58">
        <f>G5</f>
        <v>0.4</v>
      </c>
      <c r="I226" s="998">
        <v>1</v>
      </c>
      <c r="J226" s="58">
        <v>1</v>
      </c>
      <c r="K226" s="58">
        <f>J5</f>
        <v>35</v>
      </c>
      <c r="L226" s="58">
        <f>K5</f>
        <v>-6</v>
      </c>
      <c r="M226" s="58">
        <f>L5</f>
        <v>-9.4</v>
      </c>
      <c r="N226" s="58" t="str">
        <f>M5</f>
        <v>-</v>
      </c>
      <c r="O226" s="58">
        <f>N5</f>
        <v>1.7000000000000002</v>
      </c>
      <c r="Q226" s="1019">
        <v>1</v>
      </c>
      <c r="R226" s="58">
        <v>1</v>
      </c>
      <c r="S226" s="58">
        <f>Q5</f>
        <v>750</v>
      </c>
      <c r="T226" s="58" t="str">
        <f>R5</f>
        <v>-</v>
      </c>
      <c r="U226" s="58" t="str">
        <f>S5</f>
        <v>-</v>
      </c>
      <c r="V226" s="58" t="str">
        <f>T5</f>
        <v>-</v>
      </c>
      <c r="W226" s="329">
        <f>U5</f>
        <v>0</v>
      </c>
      <c r="Y226" s="570">
        <v>2</v>
      </c>
      <c r="Z226" s="569">
        <f>X14</f>
        <v>0.8</v>
      </c>
      <c r="AE226" s="490"/>
    </row>
    <row r="227" spans="1:38" ht="13" hidden="1" x14ac:dyDescent="0.3">
      <c r="A227" s="998"/>
      <c r="B227" s="58">
        <v>2</v>
      </c>
      <c r="C227" s="58">
        <f>C16</f>
        <v>15</v>
      </c>
      <c r="D227" s="58">
        <f t="shared" ref="D227:F227" si="61">D16</f>
        <v>0.4</v>
      </c>
      <c r="E227" s="58">
        <f t="shared" si="61"/>
        <v>9.9999999999999995E-7</v>
      </c>
      <c r="F227" s="58" t="str">
        <f t="shared" si="61"/>
        <v>-</v>
      </c>
      <c r="G227" s="58">
        <f>G16</f>
        <v>0.19999950000000002</v>
      </c>
      <c r="I227" s="998"/>
      <c r="J227" s="58">
        <v>2</v>
      </c>
      <c r="K227" s="58">
        <f>J16</f>
        <v>35</v>
      </c>
      <c r="L227" s="58">
        <f>K16</f>
        <v>-6.9</v>
      </c>
      <c r="M227" s="58">
        <f>L16</f>
        <v>-1.6</v>
      </c>
      <c r="N227" s="58" t="str">
        <f>M16</f>
        <v>-</v>
      </c>
      <c r="O227" s="58">
        <f>N16</f>
        <v>2.6500000000000004</v>
      </c>
      <c r="Q227" s="1001"/>
      <c r="R227" s="58">
        <v>2</v>
      </c>
      <c r="S227" s="58">
        <f>Q16</f>
        <v>750</v>
      </c>
      <c r="T227" s="58" t="str">
        <f>R16</f>
        <v>-</v>
      </c>
      <c r="U227" s="58" t="str">
        <f>S16</f>
        <v>-</v>
      </c>
      <c r="V227" s="58" t="str">
        <f>T16</f>
        <v>-</v>
      </c>
      <c r="W227" s="329">
        <f>U16</f>
        <v>0</v>
      </c>
      <c r="Y227" s="570">
        <v>3</v>
      </c>
      <c r="Z227" s="571">
        <f>X25</f>
        <v>0.5</v>
      </c>
      <c r="AE227" s="490"/>
    </row>
    <row r="228" spans="1:38" ht="13" hidden="1" x14ac:dyDescent="0.3">
      <c r="A228" s="998"/>
      <c r="B228" s="58">
        <v>3</v>
      </c>
      <c r="C228" s="58">
        <f>C27</f>
        <v>15</v>
      </c>
      <c r="D228" s="58">
        <f t="shared" ref="D228:F228" si="62">D27</f>
        <v>0.4</v>
      </c>
      <c r="E228" s="58">
        <f t="shared" si="62"/>
        <v>9.9999999999999995E-7</v>
      </c>
      <c r="F228" s="58" t="str">
        <f t="shared" si="62"/>
        <v>-</v>
      </c>
      <c r="G228" s="58">
        <f>G27</f>
        <v>0.19999950000000002</v>
      </c>
      <c r="I228" s="998"/>
      <c r="J228" s="58">
        <v>3</v>
      </c>
      <c r="K228" s="58">
        <f>J27</f>
        <v>30</v>
      </c>
      <c r="L228" s="58">
        <f>K27</f>
        <v>-7.3</v>
      </c>
      <c r="M228" s="58">
        <f>L27</f>
        <v>-5.7</v>
      </c>
      <c r="N228" s="58" t="str">
        <f>M27</f>
        <v>-</v>
      </c>
      <c r="O228" s="58">
        <f>N27</f>
        <v>0.79999999999999982</v>
      </c>
      <c r="Q228" s="1001"/>
      <c r="R228" s="58">
        <v>3</v>
      </c>
      <c r="S228" s="58">
        <f>Q27</f>
        <v>750</v>
      </c>
      <c r="T228" s="58" t="str">
        <f>R27</f>
        <v>-</v>
      </c>
      <c r="U228" s="58" t="str">
        <f>S27</f>
        <v>-</v>
      </c>
      <c r="V228" s="58" t="str">
        <f>T27</f>
        <v>-</v>
      </c>
      <c r="W228" s="329">
        <f>U27</f>
        <v>0</v>
      </c>
      <c r="Y228" s="570">
        <v>4</v>
      </c>
      <c r="Z228" s="571">
        <f>X36</f>
        <v>0.3</v>
      </c>
      <c r="AE228" s="490"/>
    </row>
    <row r="229" spans="1:38" ht="13" hidden="1" x14ac:dyDescent="0.3">
      <c r="A229" s="998"/>
      <c r="B229" s="58">
        <v>4</v>
      </c>
      <c r="C229" s="59">
        <f>C38</f>
        <v>15</v>
      </c>
      <c r="D229" s="59">
        <f t="shared" ref="D229:F229" si="63">D38</f>
        <v>-0.2</v>
      </c>
      <c r="E229" s="59">
        <f t="shared" si="63"/>
        <v>-0.1</v>
      </c>
      <c r="F229" s="59" t="str">
        <f t="shared" si="63"/>
        <v>-</v>
      </c>
      <c r="G229" s="59">
        <f>G38</f>
        <v>0.05</v>
      </c>
      <c r="I229" s="998"/>
      <c r="J229" s="58">
        <v>4</v>
      </c>
      <c r="K229" s="59">
        <f>J38</f>
        <v>35</v>
      </c>
      <c r="L229" s="59">
        <f>K38</f>
        <v>-4.5</v>
      </c>
      <c r="M229" s="59">
        <f>L38</f>
        <v>-1.7</v>
      </c>
      <c r="N229" s="59" t="str">
        <f>M38</f>
        <v>-</v>
      </c>
      <c r="O229" s="59">
        <f>N38</f>
        <v>1.4</v>
      </c>
      <c r="Q229" s="1001"/>
      <c r="R229" s="58">
        <v>4</v>
      </c>
      <c r="S229" s="59">
        <f>Q38</f>
        <v>750</v>
      </c>
      <c r="T229" s="59" t="str">
        <f>R38</f>
        <v>-</v>
      </c>
      <c r="U229" s="59" t="str">
        <f>S38</f>
        <v>-</v>
      </c>
      <c r="V229" s="59" t="str">
        <f>T38</f>
        <v>-</v>
      </c>
      <c r="W229" s="330">
        <f>U38</f>
        <v>0</v>
      </c>
      <c r="Y229" s="570">
        <v>5</v>
      </c>
      <c r="Z229" s="571">
        <f>X47</f>
        <v>0.4</v>
      </c>
      <c r="AE229" s="490"/>
    </row>
    <row r="230" spans="1:38" ht="13" hidden="1" x14ac:dyDescent="0.3">
      <c r="A230" s="998"/>
      <c r="B230" s="58">
        <v>5</v>
      </c>
      <c r="C230" s="59">
        <f>C49</f>
        <v>15</v>
      </c>
      <c r="D230" s="59">
        <f t="shared" ref="D230:F230" si="64">D49</f>
        <v>-0.3</v>
      </c>
      <c r="E230" s="59">
        <f t="shared" si="64"/>
        <v>0.3</v>
      </c>
      <c r="F230" s="59" t="str">
        <f t="shared" si="64"/>
        <v>-</v>
      </c>
      <c r="G230" s="59">
        <f>G49</f>
        <v>0.3</v>
      </c>
      <c r="I230" s="998"/>
      <c r="J230" s="58">
        <v>5</v>
      </c>
      <c r="K230" s="59">
        <f>J49</f>
        <v>35</v>
      </c>
      <c r="L230" s="59">
        <f>K49</f>
        <v>-7.7</v>
      </c>
      <c r="M230" s="59">
        <f>L49</f>
        <v>-9.6</v>
      </c>
      <c r="N230" s="59" t="str">
        <f>M49</f>
        <v>-</v>
      </c>
      <c r="O230" s="59">
        <f>N49</f>
        <v>0.94999999999999973</v>
      </c>
      <c r="Q230" s="1001"/>
      <c r="R230" s="58">
        <v>5</v>
      </c>
      <c r="S230" s="59">
        <f>Q49</f>
        <v>750</v>
      </c>
      <c r="T230" s="59" t="str">
        <f>R49</f>
        <v>-</v>
      </c>
      <c r="U230" s="59" t="str">
        <f>S49</f>
        <v>-</v>
      </c>
      <c r="V230" s="59" t="str">
        <f>T49</f>
        <v>-</v>
      </c>
      <c r="W230" s="330">
        <f>U49</f>
        <v>0</v>
      </c>
      <c r="Y230" s="568">
        <v>6</v>
      </c>
      <c r="Z230" s="569">
        <f>X58</f>
        <v>0.8</v>
      </c>
      <c r="AE230" s="490"/>
    </row>
    <row r="231" spans="1:38" ht="13" hidden="1" x14ac:dyDescent="0.3">
      <c r="A231" s="998"/>
      <c r="B231" s="58">
        <v>6</v>
      </c>
      <c r="C231" s="59">
        <f>C60</f>
        <v>15</v>
      </c>
      <c r="D231" s="59">
        <f t="shared" ref="D231:F231" si="65">D60</f>
        <v>0.4</v>
      </c>
      <c r="E231" s="59">
        <f t="shared" si="65"/>
        <v>0.4</v>
      </c>
      <c r="F231" s="59" t="str">
        <f t="shared" si="65"/>
        <v>-</v>
      </c>
      <c r="G231" s="59">
        <f>G60</f>
        <v>0</v>
      </c>
      <c r="I231" s="998"/>
      <c r="J231" s="58">
        <v>6</v>
      </c>
      <c r="K231" s="59">
        <f>J60</f>
        <v>30</v>
      </c>
      <c r="L231" s="59">
        <f>K60</f>
        <v>-1.5</v>
      </c>
      <c r="M231" s="59">
        <f>L60</f>
        <v>1.7</v>
      </c>
      <c r="N231" s="59" t="str">
        <f>M60</f>
        <v>-</v>
      </c>
      <c r="O231" s="59">
        <f>N60</f>
        <v>1.6</v>
      </c>
      <c r="Q231" s="1001"/>
      <c r="R231" s="58">
        <v>6</v>
      </c>
      <c r="S231" s="59">
        <f>Q60</f>
        <v>750</v>
      </c>
      <c r="T231" s="59">
        <f>R60</f>
        <v>0.9</v>
      </c>
      <c r="U231" s="59">
        <f>S60</f>
        <v>2.1</v>
      </c>
      <c r="V231" s="59" t="str">
        <f>T60</f>
        <v>-</v>
      </c>
      <c r="W231" s="330">
        <f>U60</f>
        <v>0.60000000000000009</v>
      </c>
      <c r="Y231" s="568">
        <v>7</v>
      </c>
      <c r="Z231" s="569">
        <f>X69</f>
        <v>0.2</v>
      </c>
      <c r="AE231" s="490"/>
    </row>
    <row r="232" spans="1:38" ht="13" hidden="1" x14ac:dyDescent="0.3">
      <c r="A232" s="998"/>
      <c r="B232" s="58">
        <v>7</v>
      </c>
      <c r="C232" s="59">
        <f>C71</f>
        <v>15</v>
      </c>
      <c r="D232" s="59">
        <f t="shared" ref="D232:F232" si="66">D71</f>
        <v>0.1</v>
      </c>
      <c r="E232" s="59">
        <f t="shared" si="66"/>
        <v>0.3</v>
      </c>
      <c r="F232" s="59" t="str">
        <f t="shared" si="66"/>
        <v>-</v>
      </c>
      <c r="G232" s="59">
        <f>G71</f>
        <v>9.9999999999999992E-2</v>
      </c>
      <c r="I232" s="998"/>
      <c r="J232" s="58">
        <v>7</v>
      </c>
      <c r="K232" s="59">
        <f>J71</f>
        <v>30</v>
      </c>
      <c r="L232" s="59">
        <f>K71</f>
        <v>-1.9</v>
      </c>
      <c r="M232" s="59">
        <f>L71</f>
        <v>1.8</v>
      </c>
      <c r="N232" s="59" t="str">
        <f>M71</f>
        <v>-</v>
      </c>
      <c r="O232" s="59">
        <f>N71</f>
        <v>1.85</v>
      </c>
      <c r="Q232" s="1001"/>
      <c r="R232" s="58">
        <v>7</v>
      </c>
      <c r="S232" s="59">
        <f>Q71</f>
        <v>750</v>
      </c>
      <c r="T232" s="59">
        <f>R71</f>
        <v>9.9999999999999995E-7</v>
      </c>
      <c r="U232" s="59">
        <f>S71</f>
        <v>3.2</v>
      </c>
      <c r="V232" s="59" t="str">
        <f>T71</f>
        <v>-</v>
      </c>
      <c r="W232" s="330">
        <f>U71</f>
        <v>1.5999995</v>
      </c>
      <c r="Y232" s="568">
        <v>8</v>
      </c>
      <c r="Z232" s="569">
        <f>X80</f>
        <v>0.3</v>
      </c>
      <c r="AE232" s="490"/>
    </row>
    <row r="233" spans="1:38" ht="13" hidden="1" x14ac:dyDescent="0.3">
      <c r="A233" s="998"/>
      <c r="B233" s="58">
        <v>8</v>
      </c>
      <c r="C233" s="59">
        <f>C82</f>
        <v>15</v>
      </c>
      <c r="D233" s="59">
        <f t="shared" ref="D233:F233" si="67">D82</f>
        <v>0.1</v>
      </c>
      <c r="E233" s="59">
        <f t="shared" si="67"/>
        <v>9.9999999999999995E-7</v>
      </c>
      <c r="F233" s="59" t="str">
        <f t="shared" si="67"/>
        <v>-</v>
      </c>
      <c r="G233" s="59">
        <f>G82</f>
        <v>4.9999500000000002E-2</v>
      </c>
      <c r="I233" s="998"/>
      <c r="J233" s="58">
        <v>8</v>
      </c>
      <c r="K233" s="59">
        <f>J82</f>
        <v>30</v>
      </c>
      <c r="L233" s="59">
        <f>K82</f>
        <v>-4</v>
      </c>
      <c r="M233" s="59">
        <f>L82</f>
        <v>-1.4</v>
      </c>
      <c r="N233" s="59" t="str">
        <f>M82</f>
        <v>-</v>
      </c>
      <c r="O233" s="59">
        <f>N82</f>
        <v>1.3</v>
      </c>
      <c r="Q233" s="1001"/>
      <c r="R233" s="58">
        <v>8</v>
      </c>
      <c r="S233" s="59">
        <f>Q82</f>
        <v>750</v>
      </c>
      <c r="T233" s="59">
        <f>R82</f>
        <v>9.9999999999999995E-7</v>
      </c>
      <c r="U233" s="59">
        <f>S82</f>
        <v>9.9999999999999995E-7</v>
      </c>
      <c r="V233" s="59" t="str">
        <f>T82</f>
        <v>-</v>
      </c>
      <c r="W233" s="330">
        <f>U82</f>
        <v>0</v>
      </c>
      <c r="Y233" s="568">
        <v>9</v>
      </c>
      <c r="Z233" s="569">
        <f>X91</f>
        <v>0.3</v>
      </c>
      <c r="AE233" s="490"/>
    </row>
    <row r="234" spans="1:38" ht="13" hidden="1" x14ac:dyDescent="0.3">
      <c r="A234" s="998"/>
      <c r="B234" s="58">
        <v>9</v>
      </c>
      <c r="C234" s="59">
        <f>C93</f>
        <v>15</v>
      </c>
      <c r="D234" s="59">
        <f t="shared" ref="D234:F234" si="68">D93</f>
        <v>9.9999999999999995E-7</v>
      </c>
      <c r="E234" s="59" t="str">
        <f t="shared" si="68"/>
        <v>-</v>
      </c>
      <c r="F234" s="59" t="str">
        <f t="shared" si="68"/>
        <v>-</v>
      </c>
      <c r="G234" s="59">
        <f>G93</f>
        <v>0</v>
      </c>
      <c r="I234" s="998"/>
      <c r="J234" s="58">
        <v>9</v>
      </c>
      <c r="K234" s="59">
        <f>J93</f>
        <v>30</v>
      </c>
      <c r="L234" s="59">
        <f>K93</f>
        <v>-1.2</v>
      </c>
      <c r="M234" s="59" t="str">
        <f>L93</f>
        <v>-</v>
      </c>
      <c r="N234" s="59" t="str">
        <f>M93</f>
        <v>-</v>
      </c>
      <c r="O234" s="59">
        <f>N93</f>
        <v>0</v>
      </c>
      <c r="Q234" s="1001"/>
      <c r="R234" s="58">
        <v>9</v>
      </c>
      <c r="S234" s="59">
        <f>Q93</f>
        <v>750</v>
      </c>
      <c r="T234" s="59">
        <f>R93</f>
        <v>9.9999999999999995E-7</v>
      </c>
      <c r="U234" s="59" t="str">
        <f>S93</f>
        <v>-</v>
      </c>
      <c r="V234" s="59" t="str">
        <f>T93</f>
        <v>-</v>
      </c>
      <c r="W234" s="330">
        <f>U93</f>
        <v>0</v>
      </c>
      <c r="Y234" s="568">
        <v>10</v>
      </c>
      <c r="Z234" s="569">
        <f>X102</f>
        <v>0.3</v>
      </c>
      <c r="AE234" s="490"/>
    </row>
    <row r="235" spans="1:38" ht="13" hidden="1" x14ac:dyDescent="0.3">
      <c r="A235" s="998"/>
      <c r="B235" s="58">
        <v>10</v>
      </c>
      <c r="C235" s="59">
        <f>C104</f>
        <v>15</v>
      </c>
      <c r="D235" s="59">
        <f t="shared" ref="D235:F235" si="69">D104</f>
        <v>0.3</v>
      </c>
      <c r="E235" s="59">
        <f t="shared" si="69"/>
        <v>0.2</v>
      </c>
      <c r="F235" s="59">
        <f t="shared" si="69"/>
        <v>0.2</v>
      </c>
      <c r="G235" s="59">
        <f>G104</f>
        <v>4.9999999999999989E-2</v>
      </c>
      <c r="I235" s="998"/>
      <c r="J235" s="58">
        <v>10</v>
      </c>
      <c r="K235" s="59">
        <f>J104</f>
        <v>30</v>
      </c>
      <c r="L235" s="59">
        <f>K104</f>
        <v>-5.0999999999999996</v>
      </c>
      <c r="M235" s="59">
        <f>L104</f>
        <v>-2.9</v>
      </c>
      <c r="N235" s="59">
        <f>M104</f>
        <v>-5.8</v>
      </c>
      <c r="O235" s="59">
        <f>N104</f>
        <v>1.45</v>
      </c>
      <c r="Q235" s="1001"/>
      <c r="R235" s="58">
        <v>10</v>
      </c>
      <c r="S235" s="59">
        <f>Q104</f>
        <v>750</v>
      </c>
      <c r="T235" s="59" t="str">
        <f>R104</f>
        <v>-</v>
      </c>
      <c r="U235" s="59" t="str">
        <f>S104</f>
        <v>-</v>
      </c>
      <c r="V235" s="59" t="str">
        <f>T104</f>
        <v>-</v>
      </c>
      <c r="W235" s="330">
        <f>U104</f>
        <v>0</v>
      </c>
      <c r="Y235" s="568">
        <v>11</v>
      </c>
      <c r="Z235" s="569">
        <f>X113</f>
        <v>0.3</v>
      </c>
      <c r="AE235" s="490"/>
    </row>
    <row r="236" spans="1:38" ht="13" hidden="1" x14ac:dyDescent="0.3">
      <c r="A236" s="998"/>
      <c r="B236" s="58">
        <v>11</v>
      </c>
      <c r="C236" s="59">
        <f>C115</f>
        <v>15</v>
      </c>
      <c r="D236" s="59">
        <f t="shared" ref="D236:F236" si="70">D115</f>
        <v>0.6</v>
      </c>
      <c r="E236" s="59">
        <f t="shared" si="70"/>
        <v>0.3</v>
      </c>
      <c r="F236" s="59">
        <f t="shared" si="70"/>
        <v>0.3</v>
      </c>
      <c r="G236" s="59">
        <f>G115</f>
        <v>0.15</v>
      </c>
      <c r="I236" s="998"/>
      <c r="J236" s="58">
        <v>11</v>
      </c>
      <c r="K236" s="59">
        <f>J115</f>
        <v>30</v>
      </c>
      <c r="L236" s="59">
        <f>K115</f>
        <v>-9.6999999999999993</v>
      </c>
      <c r="M236" s="59">
        <f>L115</f>
        <v>-5.2</v>
      </c>
      <c r="N236" s="59">
        <f>M115</f>
        <v>-6.4</v>
      </c>
      <c r="O236" s="59">
        <f>N115</f>
        <v>2.2499999999999996</v>
      </c>
      <c r="Q236" s="1001"/>
      <c r="R236" s="58">
        <v>11</v>
      </c>
      <c r="S236" s="59">
        <f>Q115</f>
        <v>750</v>
      </c>
      <c r="T236" s="59" t="str">
        <f>R115</f>
        <v>-</v>
      </c>
      <c r="U236" s="59" t="str">
        <f>S115</f>
        <v>-</v>
      </c>
      <c r="V236" s="59" t="str">
        <f>T115</f>
        <v>-</v>
      </c>
      <c r="W236" s="330">
        <f>U115</f>
        <v>0</v>
      </c>
      <c r="Y236" s="568">
        <v>12</v>
      </c>
      <c r="Z236" s="569">
        <f>X124</f>
        <v>0.3</v>
      </c>
      <c r="AE236" s="490"/>
    </row>
    <row r="237" spans="1:38" ht="13" hidden="1" x14ac:dyDescent="0.3">
      <c r="A237" s="998"/>
      <c r="B237" s="58">
        <v>12</v>
      </c>
      <c r="C237" s="59">
        <f>C126</f>
        <v>15</v>
      </c>
      <c r="D237" s="59">
        <f t="shared" ref="D237:F237" si="71">D126</f>
        <v>9.9999999999999995E-7</v>
      </c>
      <c r="E237" s="59" t="str">
        <f t="shared" si="71"/>
        <v>-</v>
      </c>
      <c r="F237" s="59" t="str">
        <f t="shared" si="71"/>
        <v>-</v>
      </c>
      <c r="G237" s="59">
        <f>G126</f>
        <v>0</v>
      </c>
      <c r="I237" s="998"/>
      <c r="J237" s="58">
        <v>12</v>
      </c>
      <c r="K237" s="59">
        <f>J126</f>
        <v>30</v>
      </c>
      <c r="L237" s="59">
        <f>K126</f>
        <v>-0.4</v>
      </c>
      <c r="M237" s="59" t="str">
        <f>L126</f>
        <v>-</v>
      </c>
      <c r="N237" s="59" t="str">
        <f>M126</f>
        <v>-</v>
      </c>
      <c r="O237" s="59">
        <f>N126</f>
        <v>0</v>
      </c>
      <c r="Q237" s="1001"/>
      <c r="R237" s="58">
        <v>12</v>
      </c>
      <c r="S237" s="59">
        <f>Q126</f>
        <v>800</v>
      </c>
      <c r="T237" s="59">
        <f>R126</f>
        <v>-0.4</v>
      </c>
      <c r="U237" s="59" t="str">
        <f>S126</f>
        <v>-</v>
      </c>
      <c r="V237" s="59" t="str">
        <f>T126</f>
        <v>-</v>
      </c>
      <c r="W237" s="330">
        <f>U126</f>
        <v>0</v>
      </c>
      <c r="Y237" s="568">
        <v>13</v>
      </c>
      <c r="Z237" s="572">
        <f>X135</f>
        <v>0.5</v>
      </c>
      <c r="AE237" s="490"/>
      <c r="AL237" s="490"/>
    </row>
    <row r="238" spans="1:38" ht="13" hidden="1" x14ac:dyDescent="0.3">
      <c r="A238" s="998"/>
      <c r="B238" s="58">
        <v>13</v>
      </c>
      <c r="C238" s="59">
        <f>C137</f>
        <v>15</v>
      </c>
      <c r="D238" s="59">
        <f t="shared" ref="D238:F238" si="72">D137</f>
        <v>0.5</v>
      </c>
      <c r="E238" s="59">
        <f t="shared" si="72"/>
        <v>-0.7</v>
      </c>
      <c r="F238" s="59" t="str">
        <f t="shared" si="72"/>
        <v>-</v>
      </c>
      <c r="G238" s="59">
        <f>G137</f>
        <v>0.6</v>
      </c>
      <c r="I238" s="998"/>
      <c r="J238" s="58">
        <v>13</v>
      </c>
      <c r="K238" s="59">
        <f>J137</f>
        <v>30</v>
      </c>
      <c r="L238" s="59">
        <f>K137</f>
        <v>-2.2000000000000002</v>
      </c>
      <c r="M238" s="59">
        <f>L137</f>
        <v>-1.4</v>
      </c>
      <c r="N238" s="59" t="str">
        <f>M137</f>
        <v>-</v>
      </c>
      <c r="O238" s="59">
        <f>N137</f>
        <v>0.40000000000000013</v>
      </c>
      <c r="Q238" s="1001"/>
      <c r="R238" s="58">
        <v>13</v>
      </c>
      <c r="S238" s="59">
        <f>Q137</f>
        <v>985</v>
      </c>
      <c r="T238" s="59">
        <f>R137</f>
        <v>3.8</v>
      </c>
      <c r="U238" s="59">
        <f>S137</f>
        <v>0.9</v>
      </c>
      <c r="V238" s="59" t="str">
        <f>T137</f>
        <v>-</v>
      </c>
      <c r="W238" s="330">
        <f>U137</f>
        <v>1.45</v>
      </c>
      <c r="Y238" s="568">
        <v>14</v>
      </c>
      <c r="Z238" s="572">
        <f>X146</f>
        <v>0.5</v>
      </c>
      <c r="AE238" s="490"/>
      <c r="AL238" s="490"/>
    </row>
    <row r="239" spans="1:38" ht="13" hidden="1" x14ac:dyDescent="0.3">
      <c r="A239" s="998"/>
      <c r="B239" s="58">
        <v>14</v>
      </c>
      <c r="C239" s="59">
        <f>C148</f>
        <v>15</v>
      </c>
      <c r="D239" s="59">
        <f t="shared" ref="D239:F239" si="73">D148</f>
        <v>0.5</v>
      </c>
      <c r="E239" s="59">
        <f t="shared" si="73"/>
        <v>-0.2</v>
      </c>
      <c r="F239" s="59" t="str">
        <f t="shared" si="73"/>
        <v>-</v>
      </c>
      <c r="G239" s="59">
        <f>G148</f>
        <v>0.35</v>
      </c>
      <c r="I239" s="998"/>
      <c r="J239" s="58">
        <v>14</v>
      </c>
      <c r="K239" s="59">
        <f>J148</f>
        <v>30</v>
      </c>
      <c r="L239" s="59">
        <f>K148</f>
        <v>-0.8</v>
      </c>
      <c r="M239" s="59">
        <f>L148</f>
        <v>0.6</v>
      </c>
      <c r="N239" s="59" t="str">
        <f>M148</f>
        <v>-</v>
      </c>
      <c r="O239" s="59">
        <f>N148</f>
        <v>0.7</v>
      </c>
      <c r="Q239" s="1001"/>
      <c r="R239" s="58">
        <v>14</v>
      </c>
      <c r="S239" s="59">
        <f>Q148</f>
        <v>985</v>
      </c>
      <c r="T239" s="59">
        <f>R148</f>
        <v>3.9</v>
      </c>
      <c r="U239" s="59">
        <f>S148</f>
        <v>0.9</v>
      </c>
      <c r="V239" s="59" t="str">
        <f>T148</f>
        <v>-</v>
      </c>
      <c r="W239" s="330">
        <f>U148</f>
        <v>1.5</v>
      </c>
      <c r="Y239" s="568">
        <v>15</v>
      </c>
      <c r="Z239" s="572">
        <f>X157</f>
        <v>0.5</v>
      </c>
      <c r="AE239" s="490"/>
      <c r="AL239" s="490"/>
    </row>
    <row r="240" spans="1:38" ht="13" hidden="1" x14ac:dyDescent="0.3">
      <c r="A240" s="998"/>
      <c r="B240" s="58">
        <v>15</v>
      </c>
      <c r="C240" s="59">
        <f>C159</f>
        <v>15</v>
      </c>
      <c r="D240" s="59">
        <f t="shared" ref="D240:F240" si="74">D159</f>
        <v>0.6</v>
      </c>
      <c r="E240" s="59">
        <f t="shared" si="74"/>
        <v>-0.6</v>
      </c>
      <c r="F240" s="59" t="str">
        <f t="shared" si="74"/>
        <v>-</v>
      </c>
      <c r="G240" s="59">
        <f>G159</f>
        <v>0.6</v>
      </c>
      <c r="I240" s="998"/>
      <c r="J240" s="58">
        <v>15</v>
      </c>
      <c r="K240" s="59">
        <f>J159</f>
        <v>30</v>
      </c>
      <c r="L240" s="59">
        <f>K159</f>
        <v>-2</v>
      </c>
      <c r="M240" s="59">
        <f>L159</f>
        <v>-0.4</v>
      </c>
      <c r="N240" s="59" t="str">
        <f>M159</f>
        <v>-</v>
      </c>
      <c r="O240" s="59">
        <f>N159</f>
        <v>0.8</v>
      </c>
      <c r="Q240" s="1001"/>
      <c r="R240" s="58">
        <v>15</v>
      </c>
      <c r="S240" s="59">
        <f>Q159</f>
        <v>985</v>
      </c>
      <c r="T240" s="59">
        <f>R159</f>
        <v>4.3</v>
      </c>
      <c r="U240" s="59">
        <f>S159</f>
        <v>0.9</v>
      </c>
      <c r="V240" s="59" t="str">
        <f>T159</f>
        <v>-</v>
      </c>
      <c r="W240" s="330">
        <f>U159</f>
        <v>1.7</v>
      </c>
      <c r="Y240" s="568">
        <v>16</v>
      </c>
      <c r="Z240" s="572">
        <f>X168</f>
        <v>0.4</v>
      </c>
      <c r="AE240" s="490"/>
      <c r="AL240" s="490"/>
    </row>
    <row r="241" spans="1:38" ht="13" hidden="1" x14ac:dyDescent="0.3">
      <c r="A241" s="998"/>
      <c r="B241" s="58">
        <v>16</v>
      </c>
      <c r="C241" s="59">
        <f>C170</f>
        <v>15</v>
      </c>
      <c r="D241" s="59">
        <f t="shared" ref="D241:F241" si="75">D170</f>
        <v>0.1</v>
      </c>
      <c r="E241" s="59" t="str">
        <f t="shared" si="75"/>
        <v>-</v>
      </c>
      <c r="F241" s="59" t="str">
        <f t="shared" si="75"/>
        <v>-</v>
      </c>
      <c r="G241" s="59">
        <f>G170</f>
        <v>0</v>
      </c>
      <c r="I241" s="998"/>
      <c r="J241" s="58">
        <v>16</v>
      </c>
      <c r="K241" s="59">
        <f>J170</f>
        <v>30</v>
      </c>
      <c r="L241" s="59">
        <f>K170</f>
        <v>-1.6</v>
      </c>
      <c r="M241" s="59" t="str">
        <f>L170</f>
        <v>-</v>
      </c>
      <c r="N241" s="59" t="str">
        <f>M170</f>
        <v>-</v>
      </c>
      <c r="O241" s="59">
        <f>N170</f>
        <v>0</v>
      </c>
      <c r="Q241" s="1001"/>
      <c r="R241" s="58">
        <v>16</v>
      </c>
      <c r="S241" s="59">
        <f>Q170</f>
        <v>800</v>
      </c>
      <c r="T241" s="59">
        <f>R170</f>
        <v>-2.9</v>
      </c>
      <c r="U241" s="59" t="str">
        <f>S170</f>
        <v>-</v>
      </c>
      <c r="V241" s="59" t="str">
        <f>T170</f>
        <v>-</v>
      </c>
      <c r="W241" s="330">
        <f>U170</f>
        <v>0</v>
      </c>
      <c r="Y241" s="568">
        <v>17</v>
      </c>
      <c r="Z241" s="572">
        <f>X179</f>
        <v>0.3</v>
      </c>
      <c r="AE241" s="490"/>
      <c r="AL241" s="490"/>
    </row>
    <row r="242" spans="1:38" ht="13" hidden="1" x14ac:dyDescent="0.3">
      <c r="A242" s="998"/>
      <c r="B242" s="58">
        <v>17</v>
      </c>
      <c r="C242" s="59">
        <f>C181</f>
        <v>15</v>
      </c>
      <c r="D242" s="59">
        <f t="shared" ref="D242:F242" si="76">D181</f>
        <v>0.1</v>
      </c>
      <c r="E242" s="59" t="str">
        <f t="shared" si="76"/>
        <v>-</v>
      </c>
      <c r="F242" s="59" t="str">
        <f t="shared" si="76"/>
        <v>-</v>
      </c>
      <c r="G242" s="59">
        <f>G181</f>
        <v>0</v>
      </c>
      <c r="I242" s="998"/>
      <c r="J242" s="58">
        <v>17</v>
      </c>
      <c r="K242" s="59">
        <f>J181</f>
        <v>30</v>
      </c>
      <c r="L242" s="59">
        <f>K181</f>
        <v>0.1</v>
      </c>
      <c r="M242" s="59" t="str">
        <f>L181</f>
        <v>-</v>
      </c>
      <c r="N242" s="59" t="str">
        <f>M181</f>
        <v>-</v>
      </c>
      <c r="O242" s="59">
        <f>N181</f>
        <v>0</v>
      </c>
      <c r="Q242" s="1001"/>
      <c r="R242" s="58">
        <v>17</v>
      </c>
      <c r="S242" s="59">
        <f>Q181</f>
        <v>960</v>
      </c>
      <c r="T242" s="59">
        <f>R181</f>
        <v>-0.6</v>
      </c>
      <c r="U242" s="59" t="str">
        <f>S181</f>
        <v>-</v>
      </c>
      <c r="V242" s="59" t="str">
        <f>T181</f>
        <v>-</v>
      </c>
      <c r="W242" s="330">
        <f>U181</f>
        <v>0</v>
      </c>
      <c r="Y242" s="568">
        <v>18</v>
      </c>
      <c r="Z242" s="572">
        <f>X190</f>
        <v>0.3</v>
      </c>
      <c r="AE242" s="490"/>
      <c r="AL242" s="490"/>
    </row>
    <row r="243" spans="1:38" ht="13" hidden="1" x14ac:dyDescent="0.3">
      <c r="A243" s="998"/>
      <c r="B243" s="58">
        <v>18</v>
      </c>
      <c r="C243" s="59">
        <f>C192</f>
        <v>15</v>
      </c>
      <c r="D243" s="59">
        <f t="shared" ref="D243:F243" si="77">D192</f>
        <v>9.9999999999999995E-7</v>
      </c>
      <c r="E243" s="59" t="str">
        <f t="shared" si="77"/>
        <v>-</v>
      </c>
      <c r="F243" s="59" t="str">
        <f t="shared" si="77"/>
        <v>-</v>
      </c>
      <c r="G243" s="59">
        <f>G192</f>
        <v>0</v>
      </c>
      <c r="I243" s="998"/>
      <c r="J243" s="58">
        <v>18</v>
      </c>
      <c r="K243" s="59">
        <f>J192</f>
        <v>30</v>
      </c>
      <c r="L243" s="59">
        <f>K192</f>
        <v>-0.4</v>
      </c>
      <c r="M243" s="59" t="str">
        <f>L192</f>
        <v>-</v>
      </c>
      <c r="N243" s="59" t="str">
        <f>M192</f>
        <v>-</v>
      </c>
      <c r="O243" s="59">
        <f>N192</f>
        <v>0</v>
      </c>
      <c r="Q243" s="1001"/>
      <c r="R243" s="58">
        <v>18</v>
      </c>
      <c r="S243" s="59">
        <f>Q192</f>
        <v>800</v>
      </c>
      <c r="T243" s="59">
        <f>R192</f>
        <v>-1.5</v>
      </c>
      <c r="U243" s="59" t="str">
        <f>S192</f>
        <v>-</v>
      </c>
      <c r="V243" s="59" t="str">
        <f>T192</f>
        <v>-</v>
      </c>
      <c r="W243" s="330">
        <f>U192</f>
        <v>0</v>
      </c>
      <c r="Y243" s="568">
        <v>19</v>
      </c>
      <c r="Z243" s="572">
        <f>X201</f>
        <v>0.1</v>
      </c>
      <c r="AE243" s="490"/>
      <c r="AL243" s="490"/>
    </row>
    <row r="244" spans="1:38" ht="13.5" hidden="1" thickBot="1" x14ac:dyDescent="0.35">
      <c r="A244" s="998"/>
      <c r="B244" s="58">
        <v>19</v>
      </c>
      <c r="C244" s="59">
        <f>C203</f>
        <v>15</v>
      </c>
      <c r="D244" s="59">
        <f t="shared" ref="D244:F244" si="78">D203</f>
        <v>9.9999999999999995E-7</v>
      </c>
      <c r="E244" s="59" t="str">
        <f t="shared" si="78"/>
        <v>-</v>
      </c>
      <c r="F244" s="59" t="str">
        <f t="shared" si="78"/>
        <v>-</v>
      </c>
      <c r="G244" s="59">
        <f>G203</f>
        <v>0</v>
      </c>
      <c r="I244" s="998"/>
      <c r="J244" s="58">
        <v>19</v>
      </c>
      <c r="K244" s="59">
        <f>J203</f>
        <v>30</v>
      </c>
      <c r="L244" s="59">
        <f>K203</f>
        <v>-1.5</v>
      </c>
      <c r="M244" s="59" t="str">
        <f>L203</f>
        <v>-</v>
      </c>
      <c r="N244" s="59" t="str">
        <f>M203</f>
        <v>-</v>
      </c>
      <c r="O244" s="59">
        <f>N203</f>
        <v>0</v>
      </c>
      <c r="Q244" s="1001"/>
      <c r="R244" s="58">
        <v>19</v>
      </c>
      <c r="S244" s="59">
        <f>Q203</f>
        <v>750</v>
      </c>
      <c r="T244" s="59">
        <f>R203</f>
        <v>2.5</v>
      </c>
      <c r="U244" s="59" t="str">
        <f>S203</f>
        <v>-</v>
      </c>
      <c r="V244" s="59" t="str">
        <f>T203</f>
        <v>-</v>
      </c>
      <c r="W244" s="330">
        <f>U203</f>
        <v>0</v>
      </c>
      <c r="Y244" s="573">
        <v>20</v>
      </c>
      <c r="Z244" s="574">
        <f>X212</f>
        <v>0</v>
      </c>
      <c r="AE244" s="490"/>
      <c r="AL244" s="490"/>
    </row>
    <row r="245" spans="1:38" ht="13.5" hidden="1" thickBot="1" x14ac:dyDescent="0.35">
      <c r="A245" s="998"/>
      <c r="B245" s="58">
        <v>20</v>
      </c>
      <c r="C245" s="59">
        <f>C214</f>
        <v>14.8</v>
      </c>
      <c r="D245" s="59">
        <f t="shared" ref="D245:F245" si="79">D214</f>
        <v>9.9999999999999995E-7</v>
      </c>
      <c r="E245" s="59" t="str">
        <f t="shared" si="79"/>
        <v>-</v>
      </c>
      <c r="F245" s="59" t="str">
        <f t="shared" si="79"/>
        <v>-</v>
      </c>
      <c r="G245" s="59">
        <f>G214</f>
        <v>0</v>
      </c>
      <c r="I245" s="998"/>
      <c r="J245" s="58">
        <v>20</v>
      </c>
      <c r="K245" s="59">
        <f>J214</f>
        <v>45.7</v>
      </c>
      <c r="L245" s="59">
        <f>K214</f>
        <v>9.9999999999999995E-7</v>
      </c>
      <c r="M245" s="59" t="str">
        <f>L214</f>
        <v>-</v>
      </c>
      <c r="N245" s="59" t="str">
        <f>M214</f>
        <v>-</v>
      </c>
      <c r="O245" s="59">
        <f>N214</f>
        <v>0</v>
      </c>
      <c r="Q245" s="1002"/>
      <c r="R245" s="338">
        <v>20</v>
      </c>
      <c r="S245" s="331">
        <f>Q214</f>
        <v>750</v>
      </c>
      <c r="T245" s="331">
        <f>R214</f>
        <v>9.9999999999999995E-7</v>
      </c>
      <c r="U245" s="331" t="str">
        <f>S214</f>
        <v>-</v>
      </c>
      <c r="V245" s="331" t="str">
        <f>T214</f>
        <v>-</v>
      </c>
      <c r="W245" s="333">
        <f>U214</f>
        <v>0</v>
      </c>
      <c r="Y245" s="575"/>
      <c r="AE245" s="576"/>
      <c r="AL245" s="490"/>
    </row>
    <row r="246" spans="1:38" ht="13" hidden="1" x14ac:dyDescent="0.3">
      <c r="A246" s="205"/>
      <c r="B246" s="205"/>
      <c r="C246" s="577"/>
      <c r="D246" s="577"/>
      <c r="E246" s="577"/>
      <c r="F246" s="473"/>
      <c r="G246" s="577"/>
      <c r="I246" s="205"/>
      <c r="J246" s="205"/>
      <c r="K246" s="577"/>
      <c r="L246" s="577"/>
      <c r="M246" s="577"/>
      <c r="N246" s="473"/>
      <c r="O246" s="577"/>
      <c r="Q246" s="578"/>
      <c r="R246" s="578"/>
      <c r="S246" s="334"/>
      <c r="T246" s="334"/>
      <c r="U246" s="334"/>
      <c r="W246" s="335"/>
      <c r="Y246" s="489"/>
      <c r="AE246" s="489"/>
      <c r="AL246" s="489"/>
    </row>
    <row r="247" spans="1:38" ht="13" hidden="1" x14ac:dyDescent="0.3">
      <c r="A247" s="998">
        <v>2</v>
      </c>
      <c r="B247" s="58">
        <v>1</v>
      </c>
      <c r="C247" s="59">
        <f>C6</f>
        <v>20</v>
      </c>
      <c r="D247" s="59">
        <f t="shared" ref="D247:F247" si="80">D6</f>
        <v>-0.2</v>
      </c>
      <c r="E247" s="59">
        <f t="shared" si="80"/>
        <v>0.2</v>
      </c>
      <c r="F247" s="59" t="str">
        <f t="shared" si="80"/>
        <v>-</v>
      </c>
      <c r="G247" s="59">
        <f>G6</f>
        <v>0.2</v>
      </c>
      <c r="I247" s="998">
        <v>2</v>
      </c>
      <c r="J247" s="58">
        <v>1</v>
      </c>
      <c r="K247" s="59">
        <f>J6</f>
        <v>40</v>
      </c>
      <c r="L247" s="59">
        <f>K6</f>
        <v>-6</v>
      </c>
      <c r="M247" s="59">
        <f>L6</f>
        <v>-8.6</v>
      </c>
      <c r="N247" s="59" t="str">
        <f>M6</f>
        <v>-</v>
      </c>
      <c r="O247" s="59">
        <f>N6</f>
        <v>1.2999999999999998</v>
      </c>
      <c r="Q247" s="997">
        <v>2</v>
      </c>
      <c r="R247" s="340">
        <v>1</v>
      </c>
      <c r="S247" s="336">
        <f>Q6</f>
        <v>800</v>
      </c>
      <c r="T247" s="336" t="str">
        <f>R6</f>
        <v>-</v>
      </c>
      <c r="U247" s="336" t="str">
        <f>S6</f>
        <v>-</v>
      </c>
      <c r="V247" s="336" t="str">
        <f>T6</f>
        <v>-</v>
      </c>
      <c r="W247" s="337">
        <f>U6</f>
        <v>0</v>
      </c>
      <c r="Y247" s="1010" t="s">
        <v>173</v>
      </c>
      <c r="Z247" s="1011"/>
      <c r="AE247" s="579"/>
    </row>
    <row r="248" spans="1:38" ht="13" hidden="1" x14ac:dyDescent="0.3">
      <c r="A248" s="998"/>
      <c r="B248" s="58">
        <v>2</v>
      </c>
      <c r="C248" s="59">
        <f>C17</f>
        <v>20</v>
      </c>
      <c r="D248" s="59">
        <f t="shared" ref="D248:F248" si="81">D17</f>
        <v>0.7</v>
      </c>
      <c r="E248" s="59">
        <f t="shared" si="81"/>
        <v>-0.1</v>
      </c>
      <c r="F248" s="59" t="str">
        <f t="shared" si="81"/>
        <v>-</v>
      </c>
      <c r="G248" s="59">
        <f>G17</f>
        <v>0.39999999999999997</v>
      </c>
      <c r="I248" s="998"/>
      <c r="J248" s="58">
        <v>2</v>
      </c>
      <c r="K248" s="59">
        <f>J17</f>
        <v>40</v>
      </c>
      <c r="L248" s="59">
        <f>K17</f>
        <v>-6.2</v>
      </c>
      <c r="M248" s="59">
        <f>L17</f>
        <v>-1.6</v>
      </c>
      <c r="N248" s="59" t="str">
        <f>M17</f>
        <v>-</v>
      </c>
      <c r="O248" s="59">
        <f>N17</f>
        <v>2.2999999999999998</v>
      </c>
      <c r="Q248" s="998"/>
      <c r="R248" s="58">
        <v>2</v>
      </c>
      <c r="S248" s="59">
        <f>Q17</f>
        <v>800</v>
      </c>
      <c r="T248" s="59" t="str">
        <f>R17</f>
        <v>-</v>
      </c>
      <c r="U248" s="59" t="str">
        <f>S17</f>
        <v>-</v>
      </c>
      <c r="V248" s="59" t="str">
        <f>T17</f>
        <v>-</v>
      </c>
      <c r="W248" s="330">
        <f>U17</f>
        <v>0</v>
      </c>
      <c r="Y248" s="1012" t="s">
        <v>177</v>
      </c>
      <c r="Z248" s="1013"/>
      <c r="AE248" s="490"/>
    </row>
    <row r="249" spans="1:38" ht="13" hidden="1" x14ac:dyDescent="0.3">
      <c r="A249" s="998"/>
      <c r="B249" s="58">
        <v>3</v>
      </c>
      <c r="C249" s="58">
        <f>C28</f>
        <v>20</v>
      </c>
      <c r="D249" s="58">
        <f t="shared" ref="D249:F249" si="82">D28</f>
        <v>1</v>
      </c>
      <c r="E249" s="58">
        <f t="shared" si="82"/>
        <v>9.9999999999999995E-7</v>
      </c>
      <c r="F249" s="58" t="str">
        <f t="shared" si="82"/>
        <v>-</v>
      </c>
      <c r="G249" s="58">
        <f>G28</f>
        <v>0.49999949999999999</v>
      </c>
      <c r="I249" s="998"/>
      <c r="J249" s="58">
        <v>3</v>
      </c>
      <c r="K249" s="58">
        <f>J28</f>
        <v>40</v>
      </c>
      <c r="L249" s="58">
        <f>K28</f>
        <v>-5.9</v>
      </c>
      <c r="M249" s="58">
        <f>L28</f>
        <v>-5.3</v>
      </c>
      <c r="N249" s="58" t="str">
        <f>M28</f>
        <v>-</v>
      </c>
      <c r="O249" s="58">
        <f>N28</f>
        <v>0.30000000000000027</v>
      </c>
      <c r="Q249" s="998"/>
      <c r="R249" s="58">
        <v>3</v>
      </c>
      <c r="S249" s="58">
        <f>Q28</f>
        <v>800</v>
      </c>
      <c r="T249" s="58" t="str">
        <f>R28</f>
        <v>-</v>
      </c>
      <c r="U249" s="58" t="str">
        <f>S28</f>
        <v>-</v>
      </c>
      <c r="V249" s="58" t="str">
        <f>T28</f>
        <v>-</v>
      </c>
      <c r="W249" s="329">
        <f>U28</f>
        <v>0</v>
      </c>
      <c r="Y249" s="568">
        <v>1</v>
      </c>
      <c r="Z249" s="569">
        <f>X4</f>
        <v>3.1</v>
      </c>
      <c r="AE249" s="490"/>
    </row>
    <row r="250" spans="1:38" ht="13" hidden="1" x14ac:dyDescent="0.3">
      <c r="A250" s="998"/>
      <c r="B250" s="58">
        <v>4</v>
      </c>
      <c r="C250" s="58">
        <f>C39</f>
        <v>20</v>
      </c>
      <c r="D250" s="58">
        <f t="shared" ref="D250:F250" si="83">D39</f>
        <v>-0.1</v>
      </c>
      <c r="E250" s="58">
        <f t="shared" si="83"/>
        <v>-0.3</v>
      </c>
      <c r="F250" s="58" t="str">
        <f t="shared" si="83"/>
        <v>-</v>
      </c>
      <c r="G250" s="58">
        <f>G39</f>
        <v>9.9999999999999992E-2</v>
      </c>
      <c r="I250" s="998"/>
      <c r="J250" s="58">
        <v>4</v>
      </c>
      <c r="K250" s="58">
        <f>J39</f>
        <v>40</v>
      </c>
      <c r="L250" s="58">
        <f>K39</f>
        <v>-4.4000000000000004</v>
      </c>
      <c r="M250" s="58">
        <f>L39</f>
        <v>-1.5</v>
      </c>
      <c r="N250" s="58" t="str">
        <f>M39</f>
        <v>-</v>
      </c>
      <c r="O250" s="58">
        <f>N39</f>
        <v>1.4500000000000002</v>
      </c>
      <c r="Q250" s="998"/>
      <c r="R250" s="58">
        <v>4</v>
      </c>
      <c r="S250" s="58">
        <f>Q39</f>
        <v>800</v>
      </c>
      <c r="T250" s="58" t="str">
        <f>R39</f>
        <v>-</v>
      </c>
      <c r="U250" s="58" t="str">
        <f>S39</f>
        <v>-</v>
      </c>
      <c r="V250" s="58" t="str">
        <f>T39</f>
        <v>-</v>
      </c>
      <c r="W250" s="329">
        <f>U39</f>
        <v>0</v>
      </c>
      <c r="Y250" s="570">
        <v>2</v>
      </c>
      <c r="Z250" s="569">
        <f>X15</f>
        <v>2.2000000000000002</v>
      </c>
      <c r="AE250" s="490"/>
    </row>
    <row r="251" spans="1:38" ht="13" hidden="1" x14ac:dyDescent="0.3">
      <c r="A251" s="998"/>
      <c r="B251" s="58">
        <v>5</v>
      </c>
      <c r="C251" s="58">
        <f>C50</f>
        <v>20</v>
      </c>
      <c r="D251" s="58">
        <f t="shared" ref="D251:F251" si="84">D50</f>
        <v>0.1</v>
      </c>
      <c r="E251" s="58">
        <f t="shared" si="84"/>
        <v>0.3</v>
      </c>
      <c r="F251" s="58" t="str">
        <f t="shared" si="84"/>
        <v>-</v>
      </c>
      <c r="G251" s="58">
        <f>G50</f>
        <v>9.9999999999999992E-2</v>
      </c>
      <c r="I251" s="998"/>
      <c r="J251" s="58">
        <v>5</v>
      </c>
      <c r="K251" s="58">
        <f>J50</f>
        <v>40</v>
      </c>
      <c r="L251" s="58">
        <f>K50</f>
        <v>-7.2</v>
      </c>
      <c r="M251" s="58">
        <f>L50</f>
        <v>-8</v>
      </c>
      <c r="N251" s="58" t="str">
        <f>M50</f>
        <v>-</v>
      </c>
      <c r="O251" s="58">
        <f>N50</f>
        <v>0.39999999999999991</v>
      </c>
      <c r="Q251" s="998"/>
      <c r="R251" s="58">
        <v>5</v>
      </c>
      <c r="S251" s="58">
        <f>Q50</f>
        <v>800</v>
      </c>
      <c r="T251" s="58" t="str">
        <f>R50</f>
        <v>-</v>
      </c>
      <c r="U251" s="58" t="str">
        <f>S50</f>
        <v>-</v>
      </c>
      <c r="V251" s="58" t="str">
        <f>T50</f>
        <v>-</v>
      </c>
      <c r="W251" s="329">
        <f>U50</f>
        <v>0</v>
      </c>
      <c r="Y251" s="570">
        <v>3</v>
      </c>
      <c r="Z251" s="571">
        <f>X26</f>
        <v>3.1</v>
      </c>
      <c r="AE251" s="490"/>
    </row>
    <row r="252" spans="1:38" ht="13" hidden="1" x14ac:dyDescent="0.3">
      <c r="A252" s="998"/>
      <c r="B252" s="58">
        <v>6</v>
      </c>
      <c r="C252" s="58">
        <f>C61</f>
        <v>20</v>
      </c>
      <c r="D252" s="58">
        <f t="shared" ref="D252:F252" si="85">D61</f>
        <v>0.3</v>
      </c>
      <c r="E252" s="58">
        <f t="shared" si="85"/>
        <v>0.2</v>
      </c>
      <c r="F252" s="58" t="str">
        <f t="shared" si="85"/>
        <v>-</v>
      </c>
      <c r="G252" s="58">
        <f>G61</f>
        <v>4.9999999999999989E-2</v>
      </c>
      <c r="I252" s="998"/>
      <c r="J252" s="58">
        <v>6</v>
      </c>
      <c r="K252" s="58">
        <f>J61</f>
        <v>40</v>
      </c>
      <c r="L252" s="58">
        <f>K61</f>
        <v>-3.8</v>
      </c>
      <c r="M252" s="58">
        <f>L61</f>
        <v>1.5</v>
      </c>
      <c r="N252" s="58" t="str">
        <f>M61</f>
        <v>-</v>
      </c>
      <c r="O252" s="58">
        <f>N61</f>
        <v>2.65</v>
      </c>
      <c r="Q252" s="998"/>
      <c r="R252" s="58">
        <v>6</v>
      </c>
      <c r="S252" s="58">
        <f>Q61</f>
        <v>800</v>
      </c>
      <c r="T252" s="58">
        <f>R61</f>
        <v>0.9</v>
      </c>
      <c r="U252" s="58">
        <f>S61</f>
        <v>1.6</v>
      </c>
      <c r="V252" s="58" t="str">
        <f>T61</f>
        <v>-</v>
      </c>
      <c r="W252" s="329">
        <f>U61</f>
        <v>0.35000000000000003</v>
      </c>
      <c r="Y252" s="570">
        <v>4</v>
      </c>
      <c r="Z252" s="571">
        <f>X37</f>
        <v>1.3</v>
      </c>
      <c r="AE252" s="490"/>
    </row>
    <row r="253" spans="1:38" ht="13" hidden="1" x14ac:dyDescent="0.3">
      <c r="A253" s="998"/>
      <c r="B253" s="58">
        <v>7</v>
      </c>
      <c r="C253" s="58">
        <f>C72</f>
        <v>20</v>
      </c>
      <c r="D253" s="58">
        <f t="shared" ref="D253:F253" si="86">D72</f>
        <v>9.9999999999999995E-7</v>
      </c>
      <c r="E253" s="58">
        <f t="shared" si="86"/>
        <v>0.1</v>
      </c>
      <c r="F253" s="58" t="str">
        <f t="shared" si="86"/>
        <v>-</v>
      </c>
      <c r="G253" s="58">
        <f>G72</f>
        <v>4.9999500000000002E-2</v>
      </c>
      <c r="I253" s="998"/>
      <c r="J253" s="58">
        <v>7</v>
      </c>
      <c r="K253" s="58">
        <f>J72</f>
        <v>40</v>
      </c>
      <c r="L253" s="58">
        <f>K72</f>
        <v>-1.9</v>
      </c>
      <c r="M253" s="58">
        <f>L72</f>
        <v>1.2</v>
      </c>
      <c r="N253" s="58" t="str">
        <f>M72</f>
        <v>-</v>
      </c>
      <c r="O253" s="58">
        <f>N72</f>
        <v>1.5499999999999998</v>
      </c>
      <c r="Q253" s="998"/>
      <c r="R253" s="58">
        <v>7</v>
      </c>
      <c r="S253" s="58">
        <f>Q72</f>
        <v>800</v>
      </c>
      <c r="T253" s="58">
        <f>R72</f>
        <v>9.9999999999999995E-7</v>
      </c>
      <c r="U253" s="58">
        <f>S72</f>
        <v>2.5</v>
      </c>
      <c r="V253" s="58" t="str">
        <f>T72</f>
        <v>-</v>
      </c>
      <c r="W253" s="329">
        <f>U72</f>
        <v>1.2499994999999999</v>
      </c>
      <c r="Y253" s="570">
        <v>5</v>
      </c>
      <c r="Z253" s="571">
        <f>X48</f>
        <v>2.8</v>
      </c>
      <c r="AE253" s="490"/>
    </row>
    <row r="254" spans="1:38" ht="13" hidden="1" x14ac:dyDescent="0.3">
      <c r="A254" s="998"/>
      <c r="B254" s="58">
        <v>8</v>
      </c>
      <c r="C254" s="58">
        <f>C83</f>
        <v>20</v>
      </c>
      <c r="D254" s="58">
        <f t="shared" ref="D254:F254" si="87">D83</f>
        <v>9.9999999999999995E-7</v>
      </c>
      <c r="E254" s="58">
        <f t="shared" si="87"/>
        <v>-0.2</v>
      </c>
      <c r="F254" s="58" t="str">
        <f t="shared" si="87"/>
        <v>-</v>
      </c>
      <c r="G254" s="58">
        <f>G83</f>
        <v>0.10000050000000001</v>
      </c>
      <c r="I254" s="998"/>
      <c r="J254" s="58">
        <v>8</v>
      </c>
      <c r="K254" s="58">
        <f>J83</f>
        <v>40</v>
      </c>
      <c r="L254" s="58">
        <f>K83</f>
        <v>-3.8</v>
      </c>
      <c r="M254" s="58">
        <f>L83</f>
        <v>-1.2</v>
      </c>
      <c r="N254" s="58" t="str">
        <f>M83</f>
        <v>-</v>
      </c>
      <c r="O254" s="58">
        <f>N83</f>
        <v>1.2999999999999998</v>
      </c>
      <c r="Q254" s="998"/>
      <c r="R254" s="58">
        <v>8</v>
      </c>
      <c r="S254" s="58">
        <f>Q83</f>
        <v>800</v>
      </c>
      <c r="T254" s="58">
        <f>R83</f>
        <v>9.9999999999999995E-7</v>
      </c>
      <c r="U254" s="58">
        <f>S83</f>
        <v>9.9999999999999995E-7</v>
      </c>
      <c r="V254" s="58" t="str">
        <f>T83</f>
        <v>-</v>
      </c>
      <c r="W254" s="329">
        <f>U83</f>
        <v>0</v>
      </c>
      <c r="Y254" s="568">
        <v>6</v>
      </c>
      <c r="Z254" s="569">
        <f>X59</f>
        <v>2.6</v>
      </c>
      <c r="AE254" s="490"/>
    </row>
    <row r="255" spans="1:38" ht="13" hidden="1" x14ac:dyDescent="0.3">
      <c r="A255" s="998"/>
      <c r="B255" s="58">
        <v>9</v>
      </c>
      <c r="C255" s="58">
        <f>C94</f>
        <v>20</v>
      </c>
      <c r="D255" s="58">
        <f t="shared" ref="D255:F255" si="88">D94</f>
        <v>-0.2</v>
      </c>
      <c r="E255" s="58" t="str">
        <f t="shared" si="88"/>
        <v>-</v>
      </c>
      <c r="F255" s="58" t="str">
        <f t="shared" si="88"/>
        <v>-</v>
      </c>
      <c r="G255" s="58">
        <f>G94</f>
        <v>0</v>
      </c>
      <c r="I255" s="998"/>
      <c r="J255" s="58">
        <v>9</v>
      </c>
      <c r="K255" s="58">
        <f>J94</f>
        <v>40</v>
      </c>
      <c r="L255" s="58">
        <f>K94</f>
        <v>-1</v>
      </c>
      <c r="M255" s="58" t="str">
        <f>L94</f>
        <v>-</v>
      </c>
      <c r="N255" s="58" t="str">
        <f>M94</f>
        <v>-</v>
      </c>
      <c r="O255" s="58">
        <f>N94</f>
        <v>0</v>
      </c>
      <c r="Q255" s="998"/>
      <c r="R255" s="58">
        <v>9</v>
      </c>
      <c r="S255" s="58">
        <f>Q94</f>
        <v>800</v>
      </c>
      <c r="T255" s="58">
        <f>R94</f>
        <v>9.9999999999999995E-7</v>
      </c>
      <c r="U255" s="58" t="str">
        <f>S94</f>
        <v>-</v>
      </c>
      <c r="V255" s="58" t="str">
        <f>T94</f>
        <v>-</v>
      </c>
      <c r="W255" s="329">
        <f>U94</f>
        <v>0</v>
      </c>
      <c r="Y255" s="568">
        <v>7</v>
      </c>
      <c r="Z255" s="569">
        <f>X70</f>
        <v>2.4</v>
      </c>
      <c r="AE255" s="490"/>
    </row>
    <row r="256" spans="1:38" ht="13" hidden="1" x14ac:dyDescent="0.3">
      <c r="A256" s="998"/>
      <c r="B256" s="58">
        <v>10</v>
      </c>
      <c r="C256" s="58">
        <f>C105</f>
        <v>20</v>
      </c>
      <c r="D256" s="58">
        <f t="shared" ref="D256:F256" si="89">D105</f>
        <v>0.3</v>
      </c>
      <c r="E256" s="58">
        <f t="shared" si="89"/>
        <v>0.2</v>
      </c>
      <c r="F256" s="58">
        <f t="shared" si="89"/>
        <v>-0.7</v>
      </c>
      <c r="G256" s="58">
        <f>G105</f>
        <v>0.5</v>
      </c>
      <c r="I256" s="998"/>
      <c r="J256" s="58">
        <v>10</v>
      </c>
      <c r="K256" s="58">
        <f>J105</f>
        <v>40</v>
      </c>
      <c r="L256" s="58">
        <f>K105</f>
        <v>-5.2</v>
      </c>
      <c r="M256" s="58">
        <f>L105</f>
        <v>-3.3</v>
      </c>
      <c r="N256" s="58">
        <f>M105</f>
        <v>-6.4</v>
      </c>
      <c r="O256" s="58">
        <f>N105</f>
        <v>1.5500000000000003</v>
      </c>
      <c r="Q256" s="998"/>
      <c r="R256" s="58">
        <v>10</v>
      </c>
      <c r="S256" s="58">
        <f>Q105</f>
        <v>800</v>
      </c>
      <c r="T256" s="58" t="str">
        <f>R105</f>
        <v>-</v>
      </c>
      <c r="U256" s="58" t="str">
        <f>S105</f>
        <v>-</v>
      </c>
      <c r="V256" s="58" t="str">
        <f>T105</f>
        <v>-</v>
      </c>
      <c r="W256" s="329">
        <f>U105</f>
        <v>0</v>
      </c>
      <c r="Y256" s="568">
        <v>8</v>
      </c>
      <c r="Z256" s="569">
        <f>X81</f>
        <v>2.5</v>
      </c>
      <c r="AE256" s="490"/>
    </row>
    <row r="257" spans="1:31" ht="13" hidden="1" x14ac:dyDescent="0.3">
      <c r="A257" s="998"/>
      <c r="B257" s="58">
        <v>11</v>
      </c>
      <c r="C257" s="58">
        <f>C116</f>
        <v>20</v>
      </c>
      <c r="D257" s="58">
        <f t="shared" ref="D257:F257" si="90">D116</f>
        <v>0.6</v>
      </c>
      <c r="E257" s="58">
        <f t="shared" si="90"/>
        <v>0.4</v>
      </c>
      <c r="F257" s="58">
        <f t="shared" si="90"/>
        <v>0.5</v>
      </c>
      <c r="G257" s="58">
        <f>G116</f>
        <v>9.9999999999999978E-2</v>
      </c>
      <c r="I257" s="998"/>
      <c r="J257" s="58">
        <v>11</v>
      </c>
      <c r="K257" s="58">
        <f>J116</f>
        <v>40</v>
      </c>
      <c r="L257" s="58">
        <f>K116</f>
        <v>-8.6</v>
      </c>
      <c r="M257" s="58">
        <f>L116</f>
        <v>-5.5</v>
      </c>
      <c r="N257" s="58">
        <f>M116</f>
        <v>-5.9</v>
      </c>
      <c r="O257" s="58">
        <f>N116</f>
        <v>1.5499999999999998</v>
      </c>
      <c r="Q257" s="998"/>
      <c r="R257" s="58">
        <v>11</v>
      </c>
      <c r="S257" s="58">
        <f>Q116</f>
        <v>800</v>
      </c>
      <c r="T257" s="58" t="str">
        <f>R116</f>
        <v>-</v>
      </c>
      <c r="U257" s="58" t="str">
        <f>S116</f>
        <v>-</v>
      </c>
      <c r="V257" s="58" t="str">
        <f>T116</f>
        <v>-</v>
      </c>
      <c r="W257" s="329">
        <f>U116</f>
        <v>0</v>
      </c>
      <c r="Y257" s="568">
        <v>9</v>
      </c>
      <c r="Z257" s="569">
        <f>X92</f>
        <v>2.4</v>
      </c>
      <c r="AE257" s="490"/>
    </row>
    <row r="258" spans="1:31" ht="13" hidden="1" x14ac:dyDescent="0.3">
      <c r="A258" s="998"/>
      <c r="B258" s="58">
        <v>12</v>
      </c>
      <c r="C258" s="58">
        <f>C127</f>
        <v>20</v>
      </c>
      <c r="D258" s="58">
        <f t="shared" ref="D258:F258" si="91">D127</f>
        <v>9.9999999999999995E-7</v>
      </c>
      <c r="E258" s="58" t="str">
        <f t="shared" si="91"/>
        <v>-</v>
      </c>
      <c r="F258" s="58" t="str">
        <f t="shared" si="91"/>
        <v>-</v>
      </c>
      <c r="G258" s="58">
        <f>G127</f>
        <v>0</v>
      </c>
      <c r="I258" s="998"/>
      <c r="J258" s="58">
        <v>12</v>
      </c>
      <c r="K258" s="58">
        <f>J127</f>
        <v>40</v>
      </c>
      <c r="L258" s="58">
        <f>K127</f>
        <v>-0.1</v>
      </c>
      <c r="M258" s="58" t="str">
        <f>L127</f>
        <v>-</v>
      </c>
      <c r="N258" s="58" t="str">
        <f>M127</f>
        <v>-</v>
      </c>
      <c r="O258" s="58">
        <f>N127</f>
        <v>0</v>
      </c>
      <c r="Q258" s="998"/>
      <c r="R258" s="58">
        <v>12</v>
      </c>
      <c r="S258" s="58">
        <f>Q127</f>
        <v>850</v>
      </c>
      <c r="T258" s="58">
        <f>R127</f>
        <v>-0.5</v>
      </c>
      <c r="U258" s="58" t="str">
        <f>S127</f>
        <v>-</v>
      </c>
      <c r="V258" s="58" t="str">
        <f>T127</f>
        <v>-</v>
      </c>
      <c r="W258" s="329">
        <f>U127</f>
        <v>0</v>
      </c>
      <c r="Y258" s="568">
        <v>10</v>
      </c>
      <c r="Z258" s="569">
        <f>X103</f>
        <v>1.5</v>
      </c>
      <c r="AE258" s="490"/>
    </row>
    <row r="259" spans="1:31" ht="13" hidden="1" x14ac:dyDescent="0.3">
      <c r="A259" s="998"/>
      <c r="B259" s="58">
        <v>13</v>
      </c>
      <c r="C259" s="58">
        <f>C138</f>
        <v>20</v>
      </c>
      <c r="D259" s="58">
        <f t="shared" ref="D259:F259" si="92">D138</f>
        <v>0.2</v>
      </c>
      <c r="E259" s="58">
        <f t="shared" si="92"/>
        <v>-0.4</v>
      </c>
      <c r="F259" s="58" t="str">
        <f t="shared" si="92"/>
        <v>-</v>
      </c>
      <c r="G259" s="58">
        <f>G138</f>
        <v>0.30000000000000004</v>
      </c>
      <c r="I259" s="998"/>
      <c r="J259" s="58">
        <v>13</v>
      </c>
      <c r="K259" s="58">
        <f>J138</f>
        <v>40</v>
      </c>
      <c r="L259" s="58">
        <f>K138</f>
        <v>-2</v>
      </c>
      <c r="M259" s="58">
        <f>L138</f>
        <v>-1.3</v>
      </c>
      <c r="N259" s="58" t="str">
        <f>M138</f>
        <v>-</v>
      </c>
      <c r="O259" s="58">
        <f>N138</f>
        <v>0.35</v>
      </c>
      <c r="Q259" s="998"/>
      <c r="R259" s="58">
        <v>13</v>
      </c>
      <c r="S259" s="58">
        <f>Q138</f>
        <v>990</v>
      </c>
      <c r="T259" s="58">
        <f>R138</f>
        <v>3.8</v>
      </c>
      <c r="U259" s="58">
        <f>S138</f>
        <v>1</v>
      </c>
      <c r="V259" s="58" t="str">
        <f>T138</f>
        <v>-</v>
      </c>
      <c r="W259" s="329">
        <f>U138</f>
        <v>1.4</v>
      </c>
      <c r="Y259" s="568">
        <v>11</v>
      </c>
      <c r="Z259" s="569">
        <f>X114</f>
        <v>1.8</v>
      </c>
      <c r="AE259" s="490"/>
    </row>
    <row r="260" spans="1:31" ht="13" hidden="1" x14ac:dyDescent="0.3">
      <c r="A260" s="998"/>
      <c r="B260" s="58">
        <v>14</v>
      </c>
      <c r="C260" s="58">
        <f>C149</f>
        <v>20</v>
      </c>
      <c r="D260" s="58">
        <f t="shared" ref="D260:F260" si="93">D149</f>
        <v>0.2</v>
      </c>
      <c r="E260" s="58">
        <f t="shared" si="93"/>
        <v>-0.1</v>
      </c>
      <c r="F260" s="58" t="str">
        <f t="shared" si="93"/>
        <v>-</v>
      </c>
      <c r="G260" s="58">
        <f>G149</f>
        <v>0.15000000000000002</v>
      </c>
      <c r="I260" s="998"/>
      <c r="J260" s="58">
        <v>14</v>
      </c>
      <c r="K260" s="58">
        <f>J149</f>
        <v>40</v>
      </c>
      <c r="L260" s="58">
        <f>K149</f>
        <v>-0.4</v>
      </c>
      <c r="M260" s="58">
        <f>L149</f>
        <v>0.3</v>
      </c>
      <c r="N260" s="58" t="str">
        <f>M149</f>
        <v>-</v>
      </c>
      <c r="O260" s="58">
        <f>N149</f>
        <v>0.35</v>
      </c>
      <c r="Q260" s="998"/>
      <c r="R260" s="58">
        <v>14</v>
      </c>
      <c r="S260" s="58">
        <f>Q149</f>
        <v>990</v>
      </c>
      <c r="T260" s="58">
        <f>R149</f>
        <v>3.9</v>
      </c>
      <c r="U260" s="58">
        <f>S149</f>
        <v>1</v>
      </c>
      <c r="V260" s="58" t="str">
        <f>T149</f>
        <v>-</v>
      </c>
      <c r="W260" s="329">
        <f>U149</f>
        <v>1.45</v>
      </c>
      <c r="Y260" s="568">
        <v>12</v>
      </c>
      <c r="Z260" s="580">
        <f>X125</f>
        <v>2</v>
      </c>
      <c r="AE260" s="490"/>
    </row>
    <row r="261" spans="1:31" ht="13" hidden="1" x14ac:dyDescent="0.3">
      <c r="A261" s="998"/>
      <c r="B261" s="58">
        <v>15</v>
      </c>
      <c r="C261" s="58">
        <f>C160</f>
        <v>20</v>
      </c>
      <c r="D261" s="58">
        <f t="shared" ref="D261:F261" si="94">D160</f>
        <v>0.3</v>
      </c>
      <c r="E261" s="58">
        <f t="shared" si="94"/>
        <v>-0.5</v>
      </c>
      <c r="F261" s="58" t="str">
        <f t="shared" si="94"/>
        <v>-</v>
      </c>
      <c r="G261" s="58">
        <f>G160</f>
        <v>0.4</v>
      </c>
      <c r="I261" s="998"/>
      <c r="J261" s="58">
        <v>15</v>
      </c>
      <c r="K261" s="58">
        <f>J160</f>
        <v>40</v>
      </c>
      <c r="L261" s="58">
        <f>K160</f>
        <v>-1.7</v>
      </c>
      <c r="M261" s="58">
        <f>L160</f>
        <v>-0.3</v>
      </c>
      <c r="N261" s="58" t="str">
        <f>M160</f>
        <v>-</v>
      </c>
      <c r="O261" s="58">
        <f>N160</f>
        <v>0.7</v>
      </c>
      <c r="Q261" s="998"/>
      <c r="R261" s="58">
        <v>15</v>
      </c>
      <c r="S261" s="58">
        <f>Q160</f>
        <v>990</v>
      </c>
      <c r="T261" s="58">
        <f>R160</f>
        <v>4.2</v>
      </c>
      <c r="U261" s="58">
        <f>S160</f>
        <v>1</v>
      </c>
      <c r="V261" s="58" t="str">
        <f>T160</f>
        <v>-</v>
      </c>
      <c r="W261" s="329">
        <f>U160</f>
        <v>1.6</v>
      </c>
      <c r="Y261" s="568">
        <v>13</v>
      </c>
      <c r="Z261" s="569">
        <f>X136</f>
        <v>2.2999999999999998</v>
      </c>
      <c r="AE261" s="490"/>
    </row>
    <row r="262" spans="1:31" ht="13" hidden="1" x14ac:dyDescent="0.3">
      <c r="A262" s="998"/>
      <c r="B262" s="58">
        <v>16</v>
      </c>
      <c r="C262" s="58">
        <f>C171</f>
        <v>20</v>
      </c>
      <c r="D262" s="58">
        <f t="shared" ref="D262:F262" si="95">D171</f>
        <v>0.2</v>
      </c>
      <c r="E262" s="58" t="str">
        <f t="shared" si="95"/>
        <v>-</v>
      </c>
      <c r="F262" s="58" t="str">
        <f t="shared" si="95"/>
        <v>-</v>
      </c>
      <c r="G262" s="58">
        <f>G171</f>
        <v>0</v>
      </c>
      <c r="I262" s="998"/>
      <c r="J262" s="58">
        <v>16</v>
      </c>
      <c r="K262" s="58">
        <f>J171</f>
        <v>40</v>
      </c>
      <c r="L262" s="58">
        <f>K171</f>
        <v>-1.4</v>
      </c>
      <c r="M262" s="58" t="str">
        <f>L171</f>
        <v>-</v>
      </c>
      <c r="N262" s="58" t="str">
        <f>M171</f>
        <v>-</v>
      </c>
      <c r="O262" s="58">
        <f>N171</f>
        <v>0</v>
      </c>
      <c r="Q262" s="998"/>
      <c r="R262" s="58">
        <v>16</v>
      </c>
      <c r="S262" s="58">
        <f>Q171</f>
        <v>850</v>
      </c>
      <c r="T262" s="58">
        <f>R171</f>
        <v>-2.2999999999999998</v>
      </c>
      <c r="U262" s="58" t="str">
        <f>S171</f>
        <v>-</v>
      </c>
      <c r="V262" s="58" t="str">
        <f>T171</f>
        <v>-</v>
      </c>
      <c r="W262" s="329">
        <f>U171</f>
        <v>0</v>
      </c>
      <c r="Y262" s="568">
        <v>14</v>
      </c>
      <c r="Z262" s="569">
        <f>X147</f>
        <v>2.7</v>
      </c>
      <c r="AE262" s="490"/>
    </row>
    <row r="263" spans="1:31" ht="13" hidden="1" x14ac:dyDescent="0.3">
      <c r="A263" s="998"/>
      <c r="B263" s="58">
        <v>17</v>
      </c>
      <c r="C263" s="58">
        <f>C182</f>
        <v>20</v>
      </c>
      <c r="D263" s="58">
        <f t="shared" ref="D263:F263" si="96">D182</f>
        <v>0.1</v>
      </c>
      <c r="E263" s="58" t="str">
        <f t="shared" si="96"/>
        <v>-</v>
      </c>
      <c r="F263" s="58" t="str">
        <f t="shared" si="96"/>
        <v>-</v>
      </c>
      <c r="G263" s="58">
        <f>G182</f>
        <v>0</v>
      </c>
      <c r="I263" s="998"/>
      <c r="J263" s="58">
        <v>17</v>
      </c>
      <c r="K263" s="58">
        <f>J182</f>
        <v>40</v>
      </c>
      <c r="L263" s="58">
        <f>K182</f>
        <v>0.2</v>
      </c>
      <c r="M263" s="58" t="str">
        <f>L182</f>
        <v>-</v>
      </c>
      <c r="N263" s="58" t="str">
        <f>M182</f>
        <v>-</v>
      </c>
      <c r="O263" s="58">
        <f>N182</f>
        <v>0</v>
      </c>
      <c r="Q263" s="998"/>
      <c r="R263" s="58">
        <v>17</v>
      </c>
      <c r="S263" s="58">
        <f>Q182</f>
        <v>970</v>
      </c>
      <c r="T263" s="58">
        <f>R182</f>
        <v>-0.6</v>
      </c>
      <c r="U263" s="58" t="str">
        <f>S182</f>
        <v>-</v>
      </c>
      <c r="V263" s="58" t="str">
        <f>T182</f>
        <v>-</v>
      </c>
      <c r="W263" s="329">
        <f>U182</f>
        <v>0</v>
      </c>
      <c r="Y263" s="568">
        <v>15</v>
      </c>
      <c r="Z263" s="569">
        <f>X158</f>
        <v>2.6</v>
      </c>
      <c r="AE263" s="490"/>
    </row>
    <row r="264" spans="1:31" ht="13" hidden="1" x14ac:dyDescent="0.3">
      <c r="A264" s="998"/>
      <c r="B264" s="58">
        <v>18</v>
      </c>
      <c r="C264" s="58">
        <f>C193</f>
        <v>20</v>
      </c>
      <c r="D264" s="58">
        <f t="shared" ref="D264:F264" si="97">D193</f>
        <v>-0.1</v>
      </c>
      <c r="E264" s="58" t="str">
        <f t="shared" si="97"/>
        <v>-</v>
      </c>
      <c r="F264" s="58" t="str">
        <f t="shared" si="97"/>
        <v>-</v>
      </c>
      <c r="G264" s="58">
        <f>G193</f>
        <v>0</v>
      </c>
      <c r="I264" s="998"/>
      <c r="J264" s="58">
        <v>18</v>
      </c>
      <c r="K264" s="58">
        <f>J193</f>
        <v>40</v>
      </c>
      <c r="L264" s="58">
        <f>K193</f>
        <v>-0.2</v>
      </c>
      <c r="M264" s="58" t="str">
        <f>L193</f>
        <v>-</v>
      </c>
      <c r="N264" s="58" t="str">
        <f>M193</f>
        <v>-</v>
      </c>
      <c r="O264" s="58">
        <f>N193</f>
        <v>0</v>
      </c>
      <c r="Q264" s="998"/>
      <c r="R264" s="58">
        <v>18</v>
      </c>
      <c r="S264" s="58">
        <f>Q193</f>
        <v>850</v>
      </c>
      <c r="T264" s="58">
        <f>R193</f>
        <v>-1.3</v>
      </c>
      <c r="U264" s="58" t="str">
        <f>S193</f>
        <v>-</v>
      </c>
      <c r="V264" s="58" t="str">
        <f>T193</f>
        <v>-</v>
      </c>
      <c r="W264" s="329">
        <f>U193</f>
        <v>0</v>
      </c>
      <c r="Y264" s="568">
        <v>16</v>
      </c>
      <c r="Z264" s="569">
        <f>X169</f>
        <v>2.2000000000000002</v>
      </c>
      <c r="AE264" s="490"/>
    </row>
    <row r="265" spans="1:31" ht="13" hidden="1" x14ac:dyDescent="0.3">
      <c r="A265" s="998"/>
      <c r="B265" s="58">
        <v>19</v>
      </c>
      <c r="C265" s="58">
        <f>C204</f>
        <v>20</v>
      </c>
      <c r="D265" s="58">
        <f t="shared" ref="D265:F265" si="98">D204</f>
        <v>0.1</v>
      </c>
      <c r="E265" s="58" t="str">
        <f t="shared" si="98"/>
        <v>-</v>
      </c>
      <c r="F265" s="58" t="str">
        <f t="shared" si="98"/>
        <v>-</v>
      </c>
      <c r="G265" s="58">
        <f>G204</f>
        <v>0</v>
      </c>
      <c r="I265" s="998"/>
      <c r="J265" s="58">
        <v>19</v>
      </c>
      <c r="K265" s="58">
        <f>J204</f>
        <v>40</v>
      </c>
      <c r="L265" s="58">
        <f>K204</f>
        <v>-0.8</v>
      </c>
      <c r="M265" s="58" t="str">
        <f>L204</f>
        <v>-</v>
      </c>
      <c r="N265" s="58" t="str">
        <f>M204</f>
        <v>-</v>
      </c>
      <c r="O265" s="58">
        <f>N204</f>
        <v>0</v>
      </c>
      <c r="Q265" s="998"/>
      <c r="R265" s="58">
        <v>19</v>
      </c>
      <c r="S265" s="58">
        <f>Q204</f>
        <v>800</v>
      </c>
      <c r="T265" s="58">
        <f>R204</f>
        <v>2.5</v>
      </c>
      <c r="U265" s="58" t="str">
        <f>S204</f>
        <v>-</v>
      </c>
      <c r="V265" s="58" t="str">
        <f>T204</f>
        <v>-</v>
      </c>
      <c r="W265" s="329">
        <f>U204</f>
        <v>0</v>
      </c>
      <c r="Y265" s="568">
        <v>17</v>
      </c>
      <c r="Z265" s="569">
        <f>X180</f>
        <v>2.8</v>
      </c>
      <c r="AE265" s="490"/>
    </row>
    <row r="266" spans="1:31" ht="13.5" hidden="1" thickBot="1" x14ac:dyDescent="0.35">
      <c r="A266" s="998"/>
      <c r="B266" s="58">
        <v>20</v>
      </c>
      <c r="C266" s="58">
        <f>C215</f>
        <v>19.7</v>
      </c>
      <c r="D266" s="58">
        <f t="shared" ref="D266:F266" si="99">D215</f>
        <v>9.9999999999999995E-7</v>
      </c>
      <c r="E266" s="58" t="str">
        <f t="shared" si="99"/>
        <v>-</v>
      </c>
      <c r="F266" s="58" t="str">
        <f t="shared" si="99"/>
        <v>-</v>
      </c>
      <c r="G266" s="58">
        <f>G215</f>
        <v>0</v>
      </c>
      <c r="I266" s="998"/>
      <c r="J266" s="58">
        <v>20</v>
      </c>
      <c r="K266" s="58">
        <f>J215</f>
        <v>54.3</v>
      </c>
      <c r="L266" s="58">
        <f>K215</f>
        <v>9.9999999999999995E-7</v>
      </c>
      <c r="M266" s="58" t="str">
        <f>L215</f>
        <v>-</v>
      </c>
      <c r="N266" s="58" t="str">
        <f>M215</f>
        <v>-</v>
      </c>
      <c r="O266" s="58">
        <f>N215</f>
        <v>0</v>
      </c>
      <c r="Q266" s="999"/>
      <c r="R266" s="338">
        <v>20</v>
      </c>
      <c r="S266" s="338">
        <f>Q215</f>
        <v>800</v>
      </c>
      <c r="T266" s="338">
        <f>R215</f>
        <v>9.9999999999999995E-7</v>
      </c>
      <c r="U266" s="338" t="str">
        <f>S215</f>
        <v>-</v>
      </c>
      <c r="V266" s="338" t="str">
        <f>T215</f>
        <v>-</v>
      </c>
      <c r="W266" s="339">
        <f>U215</f>
        <v>0</v>
      </c>
      <c r="Y266" s="568">
        <v>18</v>
      </c>
      <c r="Z266" s="569">
        <f>X191</f>
        <v>1.6</v>
      </c>
      <c r="AE266" s="576"/>
    </row>
    <row r="267" spans="1:31" ht="13" hidden="1" x14ac:dyDescent="0.3">
      <c r="A267" s="205"/>
      <c r="B267" s="205"/>
      <c r="C267" s="205"/>
      <c r="D267" s="205"/>
      <c r="E267" s="205"/>
      <c r="F267" s="473"/>
      <c r="G267" s="205"/>
      <c r="I267" s="205"/>
      <c r="J267" s="205"/>
      <c r="K267" s="205"/>
      <c r="L267" s="205"/>
      <c r="M267" s="205"/>
      <c r="N267" s="473"/>
      <c r="O267" s="205"/>
      <c r="Q267" s="581"/>
      <c r="R267" s="578"/>
      <c r="S267" s="60"/>
      <c r="T267" s="60"/>
      <c r="U267" s="60"/>
      <c r="W267" s="61"/>
      <c r="Y267" s="568">
        <v>19</v>
      </c>
      <c r="Z267" s="572">
        <f>X202</f>
        <v>1.5</v>
      </c>
      <c r="AE267" s="490"/>
    </row>
    <row r="268" spans="1:31" ht="13.5" hidden="1" thickBot="1" x14ac:dyDescent="0.35">
      <c r="A268" s="998">
        <v>3</v>
      </c>
      <c r="B268" s="58">
        <v>1</v>
      </c>
      <c r="C268" s="58">
        <f>C7</f>
        <v>25</v>
      </c>
      <c r="D268" s="58">
        <f t="shared" ref="D268:F268" si="100">D7</f>
        <v>9.9999999999999995E-7</v>
      </c>
      <c r="E268" s="58">
        <f t="shared" si="100"/>
        <v>0.1</v>
      </c>
      <c r="F268" s="58" t="str">
        <f t="shared" si="100"/>
        <v>-</v>
      </c>
      <c r="G268" s="58">
        <f>G7</f>
        <v>4.9999500000000002E-2</v>
      </c>
      <c r="I268" s="998">
        <v>3</v>
      </c>
      <c r="J268" s="58">
        <v>1</v>
      </c>
      <c r="K268" s="58">
        <f>J7</f>
        <v>50</v>
      </c>
      <c r="L268" s="58">
        <f>K7</f>
        <v>-5.8</v>
      </c>
      <c r="M268" s="58">
        <f>L7</f>
        <v>-7.2</v>
      </c>
      <c r="N268" s="58" t="str">
        <f>M7</f>
        <v>-</v>
      </c>
      <c r="O268" s="58">
        <f>N7</f>
        <v>0.70000000000000018</v>
      </c>
      <c r="Q268" s="997">
        <v>3</v>
      </c>
      <c r="R268" s="340">
        <v>1</v>
      </c>
      <c r="S268" s="340">
        <f>Q7</f>
        <v>850</v>
      </c>
      <c r="T268" s="340" t="str">
        <f>R7</f>
        <v>-</v>
      </c>
      <c r="U268" s="340" t="str">
        <f>S7</f>
        <v>-</v>
      </c>
      <c r="V268" s="340" t="str">
        <f>T7</f>
        <v>-</v>
      </c>
      <c r="W268" s="341">
        <f>U7</f>
        <v>0</v>
      </c>
      <c r="Y268" s="573">
        <v>20</v>
      </c>
      <c r="Z268" s="574">
        <f>X213</f>
        <v>0</v>
      </c>
      <c r="AE268" s="579"/>
    </row>
    <row r="269" spans="1:31" ht="13" hidden="1" x14ac:dyDescent="0.3">
      <c r="A269" s="998"/>
      <c r="B269" s="58">
        <v>2</v>
      </c>
      <c r="C269" s="58">
        <f>C18</f>
        <v>25</v>
      </c>
      <c r="D269" s="58">
        <f t="shared" ref="D269:F269" si="101">D18</f>
        <v>0.5</v>
      </c>
      <c r="E269" s="58">
        <f t="shared" si="101"/>
        <v>-0.2</v>
      </c>
      <c r="F269" s="58" t="str">
        <f t="shared" si="101"/>
        <v>-</v>
      </c>
      <c r="G269" s="58">
        <f>G18</f>
        <v>0.35</v>
      </c>
      <c r="I269" s="998"/>
      <c r="J269" s="58">
        <v>2</v>
      </c>
      <c r="K269" s="58">
        <f>J18</f>
        <v>50</v>
      </c>
      <c r="L269" s="58">
        <f>K18</f>
        <v>-5.3</v>
      </c>
      <c r="M269" s="58">
        <f>L18</f>
        <v>-1.5</v>
      </c>
      <c r="N269" s="58" t="str">
        <f>M18</f>
        <v>-</v>
      </c>
      <c r="O269" s="58">
        <f>N18</f>
        <v>1.9</v>
      </c>
      <c r="Q269" s="998"/>
      <c r="R269" s="58">
        <v>2</v>
      </c>
      <c r="S269" s="58">
        <f>Q18</f>
        <v>850</v>
      </c>
      <c r="T269" s="58" t="str">
        <f>R18</f>
        <v>-</v>
      </c>
      <c r="U269" s="58" t="str">
        <f>S18</f>
        <v>-</v>
      </c>
      <c r="V269" s="58" t="str">
        <f>T18</f>
        <v>-</v>
      </c>
      <c r="W269" s="329">
        <f>U18</f>
        <v>0</v>
      </c>
      <c r="AE269" s="490"/>
    </row>
    <row r="270" spans="1:31" ht="13" hidden="1" x14ac:dyDescent="0.3">
      <c r="A270" s="998"/>
      <c r="B270" s="58">
        <v>3</v>
      </c>
      <c r="C270" s="58">
        <f>C29</f>
        <v>25</v>
      </c>
      <c r="D270" s="58">
        <f t="shared" ref="D270:F270" si="102">D29</f>
        <v>0.7</v>
      </c>
      <c r="E270" s="58">
        <f t="shared" si="102"/>
        <v>-0.1</v>
      </c>
      <c r="F270" s="58" t="str">
        <f t="shared" si="102"/>
        <v>-</v>
      </c>
      <c r="G270" s="58">
        <f>G29</f>
        <v>0.39999999999999997</v>
      </c>
      <c r="I270" s="998"/>
      <c r="J270" s="58">
        <v>3</v>
      </c>
      <c r="K270" s="58">
        <f>J29</f>
        <v>50</v>
      </c>
      <c r="L270" s="58">
        <f>K29</f>
        <v>-4.5</v>
      </c>
      <c r="M270" s="58">
        <f>L29</f>
        <v>-4.9000000000000004</v>
      </c>
      <c r="N270" s="58" t="str">
        <f>M29</f>
        <v>-</v>
      </c>
      <c r="O270" s="58">
        <f>N29</f>
        <v>0.20000000000000018</v>
      </c>
      <c r="Q270" s="998"/>
      <c r="R270" s="58">
        <v>3</v>
      </c>
      <c r="S270" s="58">
        <f>Q29</f>
        <v>850</v>
      </c>
      <c r="T270" s="58" t="str">
        <f>R29</f>
        <v>-</v>
      </c>
      <c r="U270" s="58" t="str">
        <f>S29</f>
        <v>-</v>
      </c>
      <c r="V270" s="58" t="str">
        <f>T29</f>
        <v>-</v>
      </c>
      <c r="W270" s="329">
        <f>U29</f>
        <v>0</v>
      </c>
      <c r="AE270" s="490"/>
    </row>
    <row r="271" spans="1:31" ht="13" hidden="1" x14ac:dyDescent="0.3">
      <c r="A271" s="998"/>
      <c r="B271" s="58">
        <v>4</v>
      </c>
      <c r="C271" s="58">
        <f>C40</f>
        <v>25</v>
      </c>
      <c r="D271" s="58">
        <f t="shared" ref="D271:F271" si="103">D40</f>
        <v>-0.1</v>
      </c>
      <c r="E271" s="58">
        <f t="shared" si="103"/>
        <v>-0.5</v>
      </c>
      <c r="F271" s="58" t="str">
        <f t="shared" si="103"/>
        <v>-</v>
      </c>
      <c r="G271" s="58">
        <f>G40</f>
        <v>0.2</v>
      </c>
      <c r="I271" s="998"/>
      <c r="J271" s="58">
        <v>4</v>
      </c>
      <c r="K271" s="58">
        <f>J40</f>
        <v>50</v>
      </c>
      <c r="L271" s="58">
        <f>K40</f>
        <v>-4.3</v>
      </c>
      <c r="M271" s="58">
        <f>L40</f>
        <v>-1</v>
      </c>
      <c r="N271" s="58" t="str">
        <f>M40</f>
        <v>-</v>
      </c>
      <c r="O271" s="58">
        <f>N40</f>
        <v>1.65</v>
      </c>
      <c r="Q271" s="998"/>
      <c r="R271" s="58">
        <v>4</v>
      </c>
      <c r="S271" s="58">
        <f>Q40</f>
        <v>850</v>
      </c>
      <c r="T271" s="58" t="str">
        <f>R40</f>
        <v>-</v>
      </c>
      <c r="U271" s="58" t="str">
        <f>S40</f>
        <v>-</v>
      </c>
      <c r="V271" s="58" t="str">
        <f>T40</f>
        <v>-</v>
      </c>
      <c r="W271" s="329">
        <f>U40</f>
        <v>0</v>
      </c>
      <c r="Y271" s="1010" t="s">
        <v>173</v>
      </c>
      <c r="Z271" s="1011"/>
      <c r="AE271" s="490"/>
    </row>
    <row r="272" spans="1:31" ht="13" hidden="1" x14ac:dyDescent="0.3">
      <c r="A272" s="998"/>
      <c r="B272" s="58">
        <v>5</v>
      </c>
      <c r="C272" s="58">
        <f>C51</f>
        <v>25</v>
      </c>
      <c r="D272" s="58">
        <f t="shared" ref="D272:F272" si="104">D51</f>
        <v>0.4</v>
      </c>
      <c r="E272" s="58">
        <f t="shared" si="104"/>
        <v>0.2</v>
      </c>
      <c r="F272" s="58" t="str">
        <f t="shared" si="104"/>
        <v>-</v>
      </c>
      <c r="G272" s="58">
        <f>G51</f>
        <v>0.1</v>
      </c>
      <c r="I272" s="998"/>
      <c r="J272" s="58">
        <v>5</v>
      </c>
      <c r="K272" s="58">
        <f>J51</f>
        <v>50</v>
      </c>
      <c r="L272" s="58">
        <f>K51</f>
        <v>-6.2</v>
      </c>
      <c r="M272" s="58">
        <f>L51</f>
        <v>-6.2</v>
      </c>
      <c r="N272" s="58" t="str">
        <f>M51</f>
        <v>-</v>
      </c>
      <c r="O272" s="58">
        <f>N51</f>
        <v>0</v>
      </c>
      <c r="Q272" s="998"/>
      <c r="R272" s="58">
        <v>5</v>
      </c>
      <c r="S272" s="58">
        <f>Q51</f>
        <v>850</v>
      </c>
      <c r="T272" s="58" t="str">
        <f>R51</f>
        <v>-</v>
      </c>
      <c r="U272" s="58" t="str">
        <f>S51</f>
        <v>-</v>
      </c>
      <c r="V272" s="58" t="str">
        <f>T51</f>
        <v>-</v>
      </c>
      <c r="W272" s="329">
        <f>U51</f>
        <v>0</v>
      </c>
      <c r="Y272" s="1012" t="s">
        <v>178</v>
      </c>
      <c r="Z272" s="1013"/>
      <c r="AE272" s="490"/>
    </row>
    <row r="273" spans="1:31" ht="13" hidden="1" x14ac:dyDescent="0.3">
      <c r="A273" s="998"/>
      <c r="B273" s="58">
        <v>6</v>
      </c>
      <c r="C273" s="58">
        <f>C62</f>
        <v>25</v>
      </c>
      <c r="D273" s="58">
        <f t="shared" ref="D273:F273" si="105">D62</f>
        <v>0.2</v>
      </c>
      <c r="E273" s="58">
        <f t="shared" si="105"/>
        <v>-0.1</v>
      </c>
      <c r="F273" s="58" t="str">
        <f t="shared" si="105"/>
        <v>-</v>
      </c>
      <c r="G273" s="58">
        <f>G62</f>
        <v>0.15000000000000002</v>
      </c>
      <c r="I273" s="998"/>
      <c r="J273" s="58">
        <v>6</v>
      </c>
      <c r="K273" s="58">
        <f>J62</f>
        <v>50</v>
      </c>
      <c r="L273" s="58">
        <f>K62</f>
        <v>-5.4</v>
      </c>
      <c r="M273" s="58">
        <f>L62</f>
        <v>1.2</v>
      </c>
      <c r="N273" s="58" t="str">
        <f>M62</f>
        <v>-</v>
      </c>
      <c r="O273" s="58">
        <f>N62</f>
        <v>3.3000000000000003</v>
      </c>
      <c r="Q273" s="998"/>
      <c r="R273" s="58">
        <v>6</v>
      </c>
      <c r="S273" s="58">
        <f>Q62</f>
        <v>850</v>
      </c>
      <c r="T273" s="58">
        <f>R62</f>
        <v>0.9</v>
      </c>
      <c r="U273" s="58">
        <f>S62</f>
        <v>1.1000000000000001</v>
      </c>
      <c r="V273" s="58" t="str">
        <f>T62</f>
        <v>-</v>
      </c>
      <c r="W273" s="329">
        <f>U62</f>
        <v>0.10000000000000003</v>
      </c>
      <c r="Y273" s="568">
        <v>1</v>
      </c>
      <c r="Z273" s="569">
        <f>X5</f>
        <v>0</v>
      </c>
      <c r="AE273" s="490"/>
    </row>
    <row r="274" spans="1:31" ht="13" hidden="1" x14ac:dyDescent="0.3">
      <c r="A274" s="998"/>
      <c r="B274" s="58">
        <v>7</v>
      </c>
      <c r="C274" s="58">
        <f>C73</f>
        <v>25</v>
      </c>
      <c r="D274" s="58">
        <f t="shared" ref="D274:F274" si="106">D73</f>
        <v>9.9999999999999995E-7</v>
      </c>
      <c r="E274" s="58">
        <f t="shared" si="106"/>
        <v>-0.2</v>
      </c>
      <c r="F274" s="58" t="str">
        <f t="shared" si="106"/>
        <v>-</v>
      </c>
      <c r="G274" s="58">
        <f>G73</f>
        <v>0.10000050000000001</v>
      </c>
      <c r="I274" s="998"/>
      <c r="J274" s="58">
        <v>7</v>
      </c>
      <c r="K274" s="58">
        <f>J73</f>
        <v>50</v>
      </c>
      <c r="L274" s="58">
        <f>K73</f>
        <v>-1.9</v>
      </c>
      <c r="M274" s="58">
        <f>L73</f>
        <v>0.8</v>
      </c>
      <c r="N274" s="58" t="str">
        <f>M73</f>
        <v>-</v>
      </c>
      <c r="O274" s="58">
        <f>N73</f>
        <v>1.35</v>
      </c>
      <c r="Q274" s="998"/>
      <c r="R274" s="58">
        <v>7</v>
      </c>
      <c r="S274" s="58">
        <f>Q73</f>
        <v>850</v>
      </c>
      <c r="T274" s="58">
        <f>R73</f>
        <v>9.9999999999999995E-7</v>
      </c>
      <c r="U274" s="58">
        <f>S73</f>
        <v>1.7</v>
      </c>
      <c r="V274" s="58" t="str">
        <f>T73</f>
        <v>-</v>
      </c>
      <c r="W274" s="329">
        <f>U73</f>
        <v>0.84999950000000002</v>
      </c>
      <c r="Y274" s="570">
        <v>2</v>
      </c>
      <c r="Z274" s="569">
        <f>X16</f>
        <v>0</v>
      </c>
      <c r="AE274" s="490"/>
    </row>
    <row r="275" spans="1:31" ht="13" hidden="1" x14ac:dyDescent="0.3">
      <c r="A275" s="998"/>
      <c r="B275" s="58">
        <v>8</v>
      </c>
      <c r="C275" s="58">
        <f>C84</f>
        <v>25</v>
      </c>
      <c r="D275" s="58">
        <f t="shared" ref="D275:F275" si="107">D84</f>
        <v>-0.1</v>
      </c>
      <c r="E275" s="58">
        <f t="shared" si="107"/>
        <v>-0.4</v>
      </c>
      <c r="F275" s="58" t="str">
        <f t="shared" si="107"/>
        <v>-</v>
      </c>
      <c r="G275" s="58">
        <f>G84</f>
        <v>0.15000000000000002</v>
      </c>
      <c r="I275" s="998"/>
      <c r="J275" s="58">
        <v>8</v>
      </c>
      <c r="K275" s="58">
        <f>J84</f>
        <v>50</v>
      </c>
      <c r="L275" s="58">
        <f>K84</f>
        <v>-3.8</v>
      </c>
      <c r="M275" s="58">
        <f>L84</f>
        <v>-1.2</v>
      </c>
      <c r="N275" s="58" t="str">
        <f>M84</f>
        <v>-</v>
      </c>
      <c r="O275" s="58">
        <f>N84</f>
        <v>1.2999999999999998</v>
      </c>
      <c r="Q275" s="998"/>
      <c r="R275" s="58">
        <v>8</v>
      </c>
      <c r="S275" s="58">
        <f>Q84</f>
        <v>850</v>
      </c>
      <c r="T275" s="58">
        <f>R84</f>
        <v>9.9999999999999995E-7</v>
      </c>
      <c r="U275" s="58">
        <f>S84</f>
        <v>9.9999999999999995E-7</v>
      </c>
      <c r="V275" s="58" t="str">
        <f>T84</f>
        <v>-</v>
      </c>
      <c r="W275" s="329">
        <f>U84</f>
        <v>0</v>
      </c>
      <c r="Y275" s="570">
        <v>3</v>
      </c>
      <c r="Z275" s="571">
        <f>X27</f>
        <v>0</v>
      </c>
      <c r="AE275" s="490"/>
    </row>
    <row r="276" spans="1:31" ht="13" hidden="1" x14ac:dyDescent="0.3">
      <c r="A276" s="998"/>
      <c r="B276" s="58">
        <v>9</v>
      </c>
      <c r="C276" s="58">
        <f>C95</f>
        <v>25</v>
      </c>
      <c r="D276" s="58">
        <f t="shared" ref="D276:F276" si="108">D95</f>
        <v>-0.4</v>
      </c>
      <c r="E276" s="58" t="str">
        <f t="shared" si="108"/>
        <v>-</v>
      </c>
      <c r="F276" s="58" t="str">
        <f t="shared" si="108"/>
        <v>-</v>
      </c>
      <c r="G276" s="58">
        <f>G95</f>
        <v>0</v>
      </c>
      <c r="I276" s="998"/>
      <c r="J276" s="58">
        <v>9</v>
      </c>
      <c r="K276" s="58">
        <f>J95</f>
        <v>50</v>
      </c>
      <c r="L276" s="58">
        <f>K95</f>
        <v>-0.9</v>
      </c>
      <c r="M276" s="58" t="str">
        <f>L95</f>
        <v>-</v>
      </c>
      <c r="N276" s="58" t="str">
        <f>M95</f>
        <v>-</v>
      </c>
      <c r="O276" s="58">
        <f>N95</f>
        <v>0</v>
      </c>
      <c r="Q276" s="998"/>
      <c r="R276" s="58">
        <v>9</v>
      </c>
      <c r="S276" s="58">
        <f>Q95</f>
        <v>850</v>
      </c>
      <c r="T276" s="58">
        <f>R95</f>
        <v>9.9999999999999995E-7</v>
      </c>
      <c r="U276" s="58" t="str">
        <f>S95</f>
        <v>-</v>
      </c>
      <c r="V276" s="58" t="str">
        <f>T95</f>
        <v>-</v>
      </c>
      <c r="W276" s="329">
        <f>U95</f>
        <v>0</v>
      </c>
      <c r="Y276" s="570">
        <v>4</v>
      </c>
      <c r="Z276" s="571">
        <f>X38</f>
        <v>0</v>
      </c>
      <c r="AE276" s="490"/>
    </row>
    <row r="277" spans="1:31" ht="13" hidden="1" x14ac:dyDescent="0.3">
      <c r="A277" s="998"/>
      <c r="B277" s="58">
        <v>10</v>
      </c>
      <c r="C277" s="58">
        <f>C106</f>
        <v>25</v>
      </c>
      <c r="D277" s="58">
        <f t="shared" ref="D277:F277" si="109">D106</f>
        <v>0.3</v>
      </c>
      <c r="E277" s="58">
        <f t="shared" si="109"/>
        <v>0.1</v>
      </c>
      <c r="F277" s="58">
        <f t="shared" si="109"/>
        <v>-0.5</v>
      </c>
      <c r="G277" s="58">
        <f>G106</f>
        <v>0.4</v>
      </c>
      <c r="I277" s="998"/>
      <c r="J277" s="58">
        <v>10</v>
      </c>
      <c r="K277" s="58">
        <f>J106</f>
        <v>50</v>
      </c>
      <c r="L277" s="58">
        <f>K106</f>
        <v>-5</v>
      </c>
      <c r="M277" s="58">
        <f>L106</f>
        <v>-3.1</v>
      </c>
      <c r="N277" s="58">
        <f>M106</f>
        <v>-6.1</v>
      </c>
      <c r="O277" s="58">
        <f>N106</f>
        <v>1.4999999999999998</v>
      </c>
      <c r="Q277" s="998"/>
      <c r="R277" s="58">
        <v>10</v>
      </c>
      <c r="S277" s="58">
        <f>Q106</f>
        <v>850</v>
      </c>
      <c r="T277" s="58" t="str">
        <f>R106</f>
        <v>-</v>
      </c>
      <c r="U277" s="58" t="str">
        <f>S106</f>
        <v>-</v>
      </c>
      <c r="V277" s="58" t="str">
        <f>T106</f>
        <v>-</v>
      </c>
      <c r="W277" s="329">
        <f>U106</f>
        <v>0</v>
      </c>
      <c r="Y277" s="570">
        <v>5</v>
      </c>
      <c r="Z277" s="571">
        <f>X49</f>
        <v>0</v>
      </c>
      <c r="AE277" s="490"/>
    </row>
    <row r="278" spans="1:31" ht="13" hidden="1" x14ac:dyDescent="0.3">
      <c r="A278" s="998"/>
      <c r="B278" s="58">
        <v>11</v>
      </c>
      <c r="C278" s="58">
        <f>C117</f>
        <v>25</v>
      </c>
      <c r="D278" s="58">
        <f t="shared" ref="D278:F278" si="110">D117</f>
        <v>0.5</v>
      </c>
      <c r="E278" s="58">
        <f t="shared" si="110"/>
        <v>0.4</v>
      </c>
      <c r="F278" s="58">
        <f t="shared" si="110"/>
        <v>0.5</v>
      </c>
      <c r="G278" s="58">
        <f>G117</f>
        <v>4.9999999999999989E-2</v>
      </c>
      <c r="I278" s="998"/>
      <c r="J278" s="58">
        <v>11</v>
      </c>
      <c r="K278" s="58">
        <f>J117</f>
        <v>50</v>
      </c>
      <c r="L278" s="58">
        <f>K117</f>
        <v>-6.4</v>
      </c>
      <c r="M278" s="58">
        <f>L117</f>
        <v>-5.5</v>
      </c>
      <c r="N278" s="58">
        <f>M117</f>
        <v>-5.6</v>
      </c>
      <c r="O278" s="58">
        <f>N117</f>
        <v>0.45000000000000018</v>
      </c>
      <c r="Q278" s="998"/>
      <c r="R278" s="58">
        <v>11</v>
      </c>
      <c r="S278" s="58">
        <f>Q117</f>
        <v>850</v>
      </c>
      <c r="T278" s="58" t="str">
        <f>R117</f>
        <v>-</v>
      </c>
      <c r="U278" s="58" t="str">
        <f>S117</f>
        <v>-</v>
      </c>
      <c r="V278" s="58" t="str">
        <f>T117</f>
        <v>-</v>
      </c>
      <c r="W278" s="329">
        <f>U117</f>
        <v>0</v>
      </c>
      <c r="Y278" s="568">
        <v>6</v>
      </c>
      <c r="Z278" s="569">
        <f>X60</f>
        <v>1.6</v>
      </c>
      <c r="AE278" s="490"/>
    </row>
    <row r="279" spans="1:31" ht="13" hidden="1" x14ac:dyDescent="0.3">
      <c r="A279" s="998"/>
      <c r="B279" s="58">
        <v>12</v>
      </c>
      <c r="C279" s="58">
        <f>C128</f>
        <v>25</v>
      </c>
      <c r="D279" s="58">
        <f t="shared" ref="D279:F279" si="111">D128</f>
        <v>9.9999999999999995E-7</v>
      </c>
      <c r="E279" s="58" t="str">
        <f t="shared" si="111"/>
        <v>-</v>
      </c>
      <c r="F279" s="58" t="str">
        <f t="shared" si="111"/>
        <v>-</v>
      </c>
      <c r="G279" s="58">
        <f>G128</f>
        <v>0</v>
      </c>
      <c r="I279" s="998"/>
      <c r="J279" s="58">
        <v>12</v>
      </c>
      <c r="K279" s="58">
        <f>J128</f>
        <v>50</v>
      </c>
      <c r="L279" s="58">
        <f>K128</f>
        <v>9.9999999999999995E-7</v>
      </c>
      <c r="M279" s="58" t="str">
        <f>L128</f>
        <v>-</v>
      </c>
      <c r="N279" s="58" t="str">
        <f>M128</f>
        <v>-</v>
      </c>
      <c r="O279" s="58">
        <f>N128</f>
        <v>0</v>
      </c>
      <c r="Q279" s="998"/>
      <c r="R279" s="58">
        <v>12</v>
      </c>
      <c r="S279" s="58">
        <f>Q128</f>
        <v>900</v>
      </c>
      <c r="T279" s="58">
        <f>R128</f>
        <v>-0.6</v>
      </c>
      <c r="U279" s="58" t="str">
        <f>S128</f>
        <v>-</v>
      </c>
      <c r="V279" s="58" t="str">
        <f>T128</f>
        <v>-</v>
      </c>
      <c r="W279" s="329">
        <f>U128</f>
        <v>0</v>
      </c>
      <c r="Y279" s="568">
        <v>7</v>
      </c>
      <c r="Z279" s="569">
        <f>X71</f>
        <v>2.4</v>
      </c>
      <c r="AE279" s="490"/>
    </row>
    <row r="280" spans="1:31" ht="13" hidden="1" x14ac:dyDescent="0.3">
      <c r="A280" s="998"/>
      <c r="B280" s="58">
        <v>13</v>
      </c>
      <c r="C280" s="58">
        <f>C139</f>
        <v>25</v>
      </c>
      <c r="D280" s="58">
        <f t="shared" ref="D280:F280" si="112">D139</f>
        <v>0.1</v>
      </c>
      <c r="E280" s="58">
        <f t="shared" si="112"/>
        <v>-0.2</v>
      </c>
      <c r="F280" s="58" t="str">
        <f t="shared" si="112"/>
        <v>-</v>
      </c>
      <c r="G280" s="58">
        <f>G139</f>
        <v>0.15000000000000002</v>
      </c>
      <c r="I280" s="998"/>
      <c r="J280" s="58">
        <v>13</v>
      </c>
      <c r="K280" s="58">
        <f>J139</f>
        <v>50</v>
      </c>
      <c r="L280" s="58">
        <f>K139</f>
        <v>-1.8</v>
      </c>
      <c r="M280" s="58">
        <f>L139</f>
        <v>-1.3</v>
      </c>
      <c r="N280" s="58" t="str">
        <f>M139</f>
        <v>-</v>
      </c>
      <c r="O280" s="58">
        <f>N139</f>
        <v>0.25</v>
      </c>
      <c r="Q280" s="998"/>
      <c r="R280" s="58">
        <v>13</v>
      </c>
      <c r="S280" s="58">
        <f>Q139</f>
        <v>995</v>
      </c>
      <c r="T280" s="58">
        <f>R139</f>
        <v>3.7</v>
      </c>
      <c r="U280" s="58">
        <f>S139</f>
        <v>1</v>
      </c>
      <c r="V280" s="58" t="str">
        <f>T139</f>
        <v>-</v>
      </c>
      <c r="W280" s="329">
        <f>U139</f>
        <v>1.35</v>
      </c>
      <c r="Y280" s="568">
        <v>8</v>
      </c>
      <c r="Z280" s="569">
        <f>X82</f>
        <v>2.1</v>
      </c>
      <c r="AE280" s="490"/>
    </row>
    <row r="281" spans="1:31" ht="13" hidden="1" x14ac:dyDescent="0.3">
      <c r="A281" s="998"/>
      <c r="B281" s="58">
        <v>14</v>
      </c>
      <c r="C281" s="58">
        <f>C150</f>
        <v>25</v>
      </c>
      <c r="D281" s="58">
        <f t="shared" ref="D281:F281" si="113">D150</f>
        <v>-0.1</v>
      </c>
      <c r="E281" s="58">
        <f t="shared" si="113"/>
        <v>-0.1</v>
      </c>
      <c r="F281" s="58" t="str">
        <f t="shared" si="113"/>
        <v>-</v>
      </c>
      <c r="G281" s="58">
        <f>G150</f>
        <v>0</v>
      </c>
      <c r="I281" s="998"/>
      <c r="J281" s="58">
        <v>14</v>
      </c>
      <c r="K281" s="58">
        <f>J151</f>
        <v>60</v>
      </c>
      <c r="L281" s="58">
        <f>K151</f>
        <v>0.3</v>
      </c>
      <c r="M281" s="58">
        <f>L151</f>
        <v>-0.6</v>
      </c>
      <c r="N281" s="58" t="str">
        <f>M151</f>
        <v>-</v>
      </c>
      <c r="O281" s="58">
        <f>N151</f>
        <v>0.44999999999999996</v>
      </c>
      <c r="Q281" s="998"/>
      <c r="R281" s="58">
        <v>14</v>
      </c>
      <c r="S281" s="58">
        <f>Q150</f>
        <v>995</v>
      </c>
      <c r="T281" s="58">
        <f>R150</f>
        <v>3.8</v>
      </c>
      <c r="U281" s="58">
        <f>S150</f>
        <v>1</v>
      </c>
      <c r="V281" s="58" t="str">
        <f>T150</f>
        <v>-</v>
      </c>
      <c r="W281" s="329">
        <f>U150</f>
        <v>1.4</v>
      </c>
      <c r="Y281" s="568">
        <v>9</v>
      </c>
      <c r="Z281" s="569">
        <f>X93</f>
        <v>2.2000000000000002</v>
      </c>
      <c r="AE281" s="490"/>
    </row>
    <row r="282" spans="1:31" ht="13" hidden="1" x14ac:dyDescent="0.3">
      <c r="A282" s="998"/>
      <c r="B282" s="58">
        <v>15</v>
      </c>
      <c r="C282" s="58">
        <f>C161</f>
        <v>25</v>
      </c>
      <c r="D282" s="58">
        <f t="shared" ref="D282:F282" si="114">D161</f>
        <v>0.2</v>
      </c>
      <c r="E282" s="58">
        <f t="shared" si="114"/>
        <v>-0.4</v>
      </c>
      <c r="F282" s="58" t="str">
        <f t="shared" si="114"/>
        <v>-</v>
      </c>
      <c r="G282" s="58">
        <f>G161</f>
        <v>0.30000000000000004</v>
      </c>
      <c r="I282" s="998"/>
      <c r="J282" s="58">
        <v>15</v>
      </c>
      <c r="K282" s="58">
        <f>J161</f>
        <v>50</v>
      </c>
      <c r="L282" s="58">
        <f>K161</f>
        <v>-1.4</v>
      </c>
      <c r="M282" s="58">
        <f>L161</f>
        <v>-0.3</v>
      </c>
      <c r="N282" s="58" t="str">
        <f>M161</f>
        <v>-</v>
      </c>
      <c r="O282" s="58">
        <f>N161</f>
        <v>0.54999999999999993</v>
      </c>
      <c r="Q282" s="998"/>
      <c r="R282" s="58">
        <v>15</v>
      </c>
      <c r="S282" s="58">
        <f>Q161</f>
        <v>995</v>
      </c>
      <c r="T282" s="58">
        <f>R161</f>
        <v>4.0999999999999996</v>
      </c>
      <c r="U282" s="58">
        <f>S161</f>
        <v>1</v>
      </c>
      <c r="V282" s="58" t="str">
        <f>T161</f>
        <v>-</v>
      </c>
      <c r="W282" s="329">
        <f>U161</f>
        <v>1.5499999999999998</v>
      </c>
      <c r="Y282" s="568">
        <v>10</v>
      </c>
      <c r="Z282" s="569">
        <f>X104</f>
        <v>0</v>
      </c>
      <c r="AE282" s="490"/>
    </row>
    <row r="283" spans="1:31" ht="13" hidden="1" x14ac:dyDescent="0.3">
      <c r="A283" s="998"/>
      <c r="B283" s="58">
        <v>16</v>
      </c>
      <c r="C283" s="58">
        <f>C172</f>
        <v>25</v>
      </c>
      <c r="D283" s="58">
        <f t="shared" ref="D283:F283" si="115">D172</f>
        <v>0.2</v>
      </c>
      <c r="E283" s="58" t="str">
        <f t="shared" si="115"/>
        <v>-</v>
      </c>
      <c r="F283" s="58" t="str">
        <f t="shared" si="115"/>
        <v>-</v>
      </c>
      <c r="G283" s="58">
        <f>G172</f>
        <v>0</v>
      </c>
      <c r="I283" s="998"/>
      <c r="J283" s="58">
        <v>16</v>
      </c>
      <c r="K283" s="58">
        <f>J172</f>
        <v>50</v>
      </c>
      <c r="L283" s="58">
        <f>K172</f>
        <v>-1.4</v>
      </c>
      <c r="M283" s="58" t="str">
        <f>L172</f>
        <v>-</v>
      </c>
      <c r="N283" s="58" t="str">
        <f>M172</f>
        <v>-</v>
      </c>
      <c r="O283" s="58">
        <f>N172</f>
        <v>0</v>
      </c>
      <c r="Q283" s="998"/>
      <c r="R283" s="58">
        <v>16</v>
      </c>
      <c r="S283" s="58">
        <f>Q172</f>
        <v>900</v>
      </c>
      <c r="T283" s="58">
        <f>R172</f>
        <v>-1.7</v>
      </c>
      <c r="U283" s="58" t="str">
        <f>S172</f>
        <v>-</v>
      </c>
      <c r="V283" s="58" t="str">
        <f>T172</f>
        <v>-</v>
      </c>
      <c r="W283" s="329">
        <f>U172</f>
        <v>0</v>
      </c>
      <c r="Y283" s="568">
        <v>11</v>
      </c>
      <c r="Z283" s="569">
        <f>X115</f>
        <v>0</v>
      </c>
      <c r="AE283" s="490"/>
    </row>
    <row r="284" spans="1:31" ht="13" hidden="1" x14ac:dyDescent="0.3">
      <c r="A284" s="998"/>
      <c r="B284" s="58">
        <v>17</v>
      </c>
      <c r="C284" s="58">
        <f>C183</f>
        <v>25</v>
      </c>
      <c r="D284" s="58">
        <f t="shared" ref="D284:F284" si="116">D183</f>
        <v>9.9999999999999995E-7</v>
      </c>
      <c r="E284" s="58" t="str">
        <f t="shared" si="116"/>
        <v>-</v>
      </c>
      <c r="F284" s="58" t="str">
        <f t="shared" si="116"/>
        <v>-</v>
      </c>
      <c r="G284" s="58">
        <f>G183</f>
        <v>0</v>
      </c>
      <c r="I284" s="998"/>
      <c r="J284" s="58">
        <v>17</v>
      </c>
      <c r="K284" s="58">
        <f>J183</f>
        <v>50</v>
      </c>
      <c r="L284" s="58">
        <f>K183</f>
        <v>0.2</v>
      </c>
      <c r="M284" s="58" t="str">
        <f>L183</f>
        <v>-</v>
      </c>
      <c r="N284" s="58" t="str">
        <f>M183</f>
        <v>-</v>
      </c>
      <c r="O284" s="58">
        <f>N183</f>
        <v>0</v>
      </c>
      <c r="Q284" s="998"/>
      <c r="R284" s="58">
        <v>17</v>
      </c>
      <c r="S284" s="58">
        <f>Q183</f>
        <v>980</v>
      </c>
      <c r="T284" s="58">
        <f>R183</f>
        <v>-0.6</v>
      </c>
      <c r="U284" s="58" t="str">
        <f>S183</f>
        <v>-</v>
      </c>
      <c r="V284" s="58" t="str">
        <f>T183</f>
        <v>-</v>
      </c>
      <c r="W284" s="329">
        <f>U183</f>
        <v>0</v>
      </c>
      <c r="Y284" s="568">
        <v>12</v>
      </c>
      <c r="Z284" s="580">
        <f>X126</f>
        <v>2.4</v>
      </c>
      <c r="AE284" s="490"/>
    </row>
    <row r="285" spans="1:31" ht="13" hidden="1" x14ac:dyDescent="0.3">
      <c r="A285" s="998"/>
      <c r="B285" s="58">
        <v>18</v>
      </c>
      <c r="C285" s="58">
        <f>C194</f>
        <v>25</v>
      </c>
      <c r="D285" s="58">
        <f t="shared" ref="D285:F285" si="117">D194</f>
        <v>-0.2</v>
      </c>
      <c r="E285" s="58" t="str">
        <f t="shared" si="117"/>
        <v>-</v>
      </c>
      <c r="F285" s="58" t="str">
        <f t="shared" si="117"/>
        <v>-</v>
      </c>
      <c r="G285" s="58">
        <f>G194</f>
        <v>0</v>
      </c>
      <c r="I285" s="998"/>
      <c r="J285" s="58">
        <v>18</v>
      </c>
      <c r="K285" s="58">
        <f>J194</f>
        <v>50</v>
      </c>
      <c r="L285" s="58">
        <f>K194</f>
        <v>-0.2</v>
      </c>
      <c r="M285" s="58" t="str">
        <f>L194</f>
        <v>-</v>
      </c>
      <c r="N285" s="58" t="str">
        <f>M194</f>
        <v>-</v>
      </c>
      <c r="O285" s="58">
        <f>N194</f>
        <v>0</v>
      </c>
      <c r="Q285" s="998"/>
      <c r="R285" s="58">
        <v>18</v>
      </c>
      <c r="S285" s="58">
        <f>Q194</f>
        <v>900</v>
      </c>
      <c r="T285" s="58">
        <f>R194</f>
        <v>-1.1000000000000001</v>
      </c>
      <c r="U285" s="58" t="str">
        <f>S194</f>
        <v>-</v>
      </c>
      <c r="V285" s="58" t="str">
        <f>T194</f>
        <v>-</v>
      </c>
      <c r="W285" s="329">
        <f>U194</f>
        <v>0</v>
      </c>
      <c r="Y285" s="568">
        <v>13</v>
      </c>
      <c r="Z285" s="569">
        <f>X137</f>
        <v>2.4</v>
      </c>
      <c r="AE285" s="490"/>
    </row>
    <row r="286" spans="1:31" ht="13" hidden="1" x14ac:dyDescent="0.3">
      <c r="A286" s="998"/>
      <c r="B286" s="58">
        <v>19</v>
      </c>
      <c r="C286" s="58">
        <f>C194</f>
        <v>25</v>
      </c>
      <c r="D286" s="58">
        <f t="shared" ref="D286:F286" si="118">D194</f>
        <v>-0.2</v>
      </c>
      <c r="E286" s="58" t="str">
        <f t="shared" si="118"/>
        <v>-</v>
      </c>
      <c r="F286" s="58" t="str">
        <f t="shared" si="118"/>
        <v>-</v>
      </c>
      <c r="G286" s="58">
        <f>G194</f>
        <v>0</v>
      </c>
      <c r="I286" s="998"/>
      <c r="J286" s="58">
        <v>19</v>
      </c>
      <c r="K286" s="58">
        <f>J205</f>
        <v>50</v>
      </c>
      <c r="L286" s="58">
        <f>K205</f>
        <v>-0.2</v>
      </c>
      <c r="M286" s="58" t="str">
        <f>L205</f>
        <v>-</v>
      </c>
      <c r="N286" s="58" t="str">
        <f>M205</f>
        <v>-</v>
      </c>
      <c r="O286" s="58">
        <f>N205</f>
        <v>0</v>
      </c>
      <c r="Q286" s="998"/>
      <c r="R286" s="58">
        <v>19</v>
      </c>
      <c r="S286" s="58">
        <f>Q205</f>
        <v>850</v>
      </c>
      <c r="T286" s="58">
        <f>R205</f>
        <v>2.4</v>
      </c>
      <c r="U286" s="58" t="str">
        <f>S205</f>
        <v>-</v>
      </c>
      <c r="V286" s="58" t="str">
        <f>T205</f>
        <v>-</v>
      </c>
      <c r="W286" s="329">
        <f>U205</f>
        <v>0</v>
      </c>
      <c r="Y286" s="568">
        <v>14</v>
      </c>
      <c r="Z286" s="569">
        <f>X148</f>
        <v>2.4</v>
      </c>
      <c r="AE286" s="490"/>
    </row>
    <row r="287" spans="1:31" ht="13.5" hidden="1" thickBot="1" x14ac:dyDescent="0.35">
      <c r="A287" s="998"/>
      <c r="B287" s="58">
        <v>20</v>
      </c>
      <c r="C287" s="58">
        <f>C216</f>
        <v>24.6</v>
      </c>
      <c r="D287" s="58">
        <f t="shared" ref="D287:F287" si="119">D216</f>
        <v>9.9999999999999995E-7</v>
      </c>
      <c r="E287" s="58" t="str">
        <f t="shared" si="119"/>
        <v>-</v>
      </c>
      <c r="F287" s="58" t="str">
        <f t="shared" si="119"/>
        <v>-</v>
      </c>
      <c r="G287" s="58">
        <f>G216</f>
        <v>0</v>
      </c>
      <c r="I287" s="998"/>
      <c r="J287" s="58">
        <v>20</v>
      </c>
      <c r="K287" s="58">
        <f>J216</f>
        <v>62.5</v>
      </c>
      <c r="L287" s="58">
        <f>K216</f>
        <v>9.9999999999999995E-7</v>
      </c>
      <c r="M287" s="58" t="str">
        <f>L216</f>
        <v>-</v>
      </c>
      <c r="N287" s="58" t="str">
        <f>M216</f>
        <v>-</v>
      </c>
      <c r="O287" s="58">
        <f>N216</f>
        <v>0</v>
      </c>
      <c r="Q287" s="999"/>
      <c r="R287" s="338">
        <v>20</v>
      </c>
      <c r="S287" s="338">
        <f>Q216</f>
        <v>850</v>
      </c>
      <c r="T287" s="338">
        <f>R216</f>
        <v>9.9999999999999995E-7</v>
      </c>
      <c r="U287" s="338" t="str">
        <f>S216</f>
        <v>-</v>
      </c>
      <c r="V287" s="338" t="str">
        <f>T216</f>
        <v>-</v>
      </c>
      <c r="W287" s="339">
        <f>U216</f>
        <v>0</v>
      </c>
      <c r="Y287" s="568">
        <v>15</v>
      </c>
      <c r="Z287" s="569">
        <f>X159</f>
        <v>2.6</v>
      </c>
      <c r="AE287" s="576"/>
    </row>
    <row r="288" spans="1:31" ht="13" hidden="1" x14ac:dyDescent="0.3">
      <c r="A288" s="205"/>
      <c r="B288" s="205"/>
      <c r="C288" s="205"/>
      <c r="D288" s="205"/>
      <c r="E288" s="205"/>
      <c r="F288" s="473"/>
      <c r="G288" s="205"/>
      <c r="I288" s="205"/>
      <c r="J288" s="205"/>
      <c r="K288" s="205"/>
      <c r="L288" s="205"/>
      <c r="M288" s="205"/>
      <c r="N288" s="473"/>
      <c r="O288" s="205"/>
      <c r="Q288" s="581"/>
      <c r="R288" s="582"/>
      <c r="S288" s="60"/>
      <c r="T288" s="60"/>
      <c r="U288" s="60"/>
      <c r="W288" s="61"/>
      <c r="Y288" s="568">
        <v>16</v>
      </c>
      <c r="Z288" s="572">
        <f>X170</f>
        <v>2.2999999999999998</v>
      </c>
      <c r="AE288" s="490"/>
    </row>
    <row r="289" spans="1:31" ht="13" hidden="1" x14ac:dyDescent="0.3">
      <c r="A289" s="998">
        <v>4</v>
      </c>
      <c r="B289" s="58">
        <v>1</v>
      </c>
      <c r="C289" s="58">
        <f>C8</f>
        <v>30</v>
      </c>
      <c r="D289" s="58">
        <f t="shared" ref="D289:F289" si="120">D8</f>
        <v>9.9999999999999995E-7</v>
      </c>
      <c r="E289" s="58">
        <f t="shared" si="120"/>
        <v>-0.2</v>
      </c>
      <c r="F289" s="58" t="str">
        <f t="shared" si="120"/>
        <v>-</v>
      </c>
      <c r="G289" s="58">
        <f>G8</f>
        <v>0.10000050000000001</v>
      </c>
      <c r="I289" s="998">
        <v>4</v>
      </c>
      <c r="J289" s="58">
        <v>1</v>
      </c>
      <c r="K289" s="58">
        <f>J8</f>
        <v>60</v>
      </c>
      <c r="L289" s="58">
        <f>K8</f>
        <v>-5.3</v>
      </c>
      <c r="M289" s="58">
        <f>L8</f>
        <v>-5.2</v>
      </c>
      <c r="N289" s="58" t="str">
        <f>M8</f>
        <v>-</v>
      </c>
      <c r="O289" s="58">
        <f>N8</f>
        <v>4.9999999999999822E-2</v>
      </c>
      <c r="Q289" s="997">
        <v>4</v>
      </c>
      <c r="R289" s="340">
        <v>1</v>
      </c>
      <c r="S289" s="340">
        <f>Q8</f>
        <v>900</v>
      </c>
      <c r="T289" s="340" t="str">
        <f>R8</f>
        <v>-</v>
      </c>
      <c r="U289" s="340" t="str">
        <f>S8</f>
        <v>-</v>
      </c>
      <c r="V289" s="340" t="str">
        <f>T8</f>
        <v>-</v>
      </c>
      <c r="W289" s="341">
        <f>U8</f>
        <v>0</v>
      </c>
      <c r="Y289" s="568">
        <v>17</v>
      </c>
      <c r="Z289" s="572">
        <f>X181</f>
        <v>2.1</v>
      </c>
      <c r="AE289" s="579"/>
    </row>
    <row r="290" spans="1:31" ht="13" hidden="1" x14ac:dyDescent="0.3">
      <c r="A290" s="998"/>
      <c r="B290" s="58">
        <v>2</v>
      </c>
      <c r="C290" s="58">
        <f>C19</f>
        <v>30</v>
      </c>
      <c r="D290" s="58">
        <f t="shared" ref="D290:F290" si="121">D19</f>
        <v>0.2</v>
      </c>
      <c r="E290" s="58">
        <f t="shared" si="121"/>
        <v>-0.3</v>
      </c>
      <c r="F290" s="58" t="str">
        <f t="shared" si="121"/>
        <v>-</v>
      </c>
      <c r="G290" s="58">
        <f>G19</f>
        <v>0.25</v>
      </c>
      <c r="I290" s="998"/>
      <c r="J290" s="58">
        <v>2</v>
      </c>
      <c r="K290" s="58">
        <f>J19</f>
        <v>60</v>
      </c>
      <c r="L290" s="58">
        <f>K19</f>
        <v>-4</v>
      </c>
      <c r="M290" s="58">
        <f>L19</f>
        <v>-1.3</v>
      </c>
      <c r="N290" s="58" t="str">
        <f>M19</f>
        <v>-</v>
      </c>
      <c r="O290" s="58">
        <f>N19</f>
        <v>1.35</v>
      </c>
      <c r="Q290" s="998"/>
      <c r="R290" s="58">
        <v>2</v>
      </c>
      <c r="S290" s="58">
        <f>Q19</f>
        <v>900</v>
      </c>
      <c r="T290" s="58" t="str">
        <f>R19</f>
        <v>-</v>
      </c>
      <c r="U290" s="58" t="str">
        <f>S19</f>
        <v>-</v>
      </c>
      <c r="V290" s="58" t="str">
        <f>T19</f>
        <v>-</v>
      </c>
      <c r="W290" s="329">
        <f>U19</f>
        <v>0</v>
      </c>
      <c r="Y290" s="568">
        <v>18</v>
      </c>
      <c r="Z290" s="572">
        <f>X192</f>
        <v>2.4</v>
      </c>
      <c r="AE290" s="490"/>
    </row>
    <row r="291" spans="1:31" ht="13" hidden="1" x14ac:dyDescent="0.3">
      <c r="A291" s="998"/>
      <c r="B291" s="58">
        <v>3</v>
      </c>
      <c r="C291" s="58">
        <f>C30</f>
        <v>30</v>
      </c>
      <c r="D291" s="58">
        <f t="shared" ref="D291:F291" si="122">D30</f>
        <v>9.9999999999999995E-7</v>
      </c>
      <c r="E291" s="58">
        <f t="shared" si="122"/>
        <v>-0.3</v>
      </c>
      <c r="F291" s="58" t="str">
        <f t="shared" si="122"/>
        <v>-</v>
      </c>
      <c r="G291" s="58">
        <f>G30</f>
        <v>0.15000049999999998</v>
      </c>
      <c r="I291" s="998"/>
      <c r="J291" s="58">
        <v>3</v>
      </c>
      <c r="K291" s="58">
        <f>J30</f>
        <v>60</v>
      </c>
      <c r="L291" s="58">
        <f>K30</f>
        <v>-3.2</v>
      </c>
      <c r="M291" s="58">
        <f>L30</f>
        <v>-4.3</v>
      </c>
      <c r="N291" s="58" t="str">
        <f>M30</f>
        <v>-</v>
      </c>
      <c r="O291" s="58">
        <f>N30</f>
        <v>0.54999999999999982</v>
      </c>
      <c r="Q291" s="998"/>
      <c r="R291" s="58">
        <v>3</v>
      </c>
      <c r="S291" s="58">
        <f>Q30</f>
        <v>900</v>
      </c>
      <c r="T291" s="58" t="str">
        <f>R30</f>
        <v>-</v>
      </c>
      <c r="U291" s="58" t="str">
        <f>S30</f>
        <v>-</v>
      </c>
      <c r="V291" s="58" t="str">
        <f>T30</f>
        <v>-</v>
      </c>
      <c r="W291" s="329">
        <f>U30</f>
        <v>0</v>
      </c>
      <c r="Y291" s="568">
        <v>19</v>
      </c>
      <c r="Z291" s="572">
        <f>X203</f>
        <v>0.4</v>
      </c>
      <c r="AE291" s="490"/>
    </row>
    <row r="292" spans="1:31" ht="13.5" hidden="1" thickBot="1" x14ac:dyDescent="0.35">
      <c r="A292" s="998"/>
      <c r="B292" s="58">
        <v>4</v>
      </c>
      <c r="C292" s="58">
        <f>C41</f>
        <v>30</v>
      </c>
      <c r="D292" s="58">
        <f t="shared" ref="D292:F292" si="123">D41</f>
        <v>-0.1</v>
      </c>
      <c r="E292" s="58">
        <f t="shared" si="123"/>
        <v>-0.6</v>
      </c>
      <c r="F292" s="58" t="str">
        <f t="shared" si="123"/>
        <v>-</v>
      </c>
      <c r="G292" s="58">
        <f>G41</f>
        <v>0.25</v>
      </c>
      <c r="I292" s="998"/>
      <c r="J292" s="58">
        <v>4</v>
      </c>
      <c r="K292" s="58">
        <f>J41</f>
        <v>60</v>
      </c>
      <c r="L292" s="58">
        <f>K41</f>
        <v>-4.2</v>
      </c>
      <c r="M292" s="58">
        <f>L41</f>
        <v>-0.3</v>
      </c>
      <c r="N292" s="58" t="str">
        <f>M41</f>
        <v>-</v>
      </c>
      <c r="O292" s="58">
        <f>N41</f>
        <v>1.9500000000000002</v>
      </c>
      <c r="Q292" s="998"/>
      <c r="R292" s="58">
        <v>4</v>
      </c>
      <c r="S292" s="58">
        <f>Q41</f>
        <v>900</v>
      </c>
      <c r="T292" s="58" t="str">
        <f>R41</f>
        <v>-</v>
      </c>
      <c r="U292" s="58" t="str">
        <f>S41</f>
        <v>-</v>
      </c>
      <c r="V292" s="58" t="str">
        <f>T41</f>
        <v>-</v>
      </c>
      <c r="W292" s="329">
        <f>U41</f>
        <v>0</v>
      </c>
      <c r="Y292" s="573">
        <v>20</v>
      </c>
      <c r="Z292" s="574">
        <f>X214</f>
        <v>0</v>
      </c>
      <c r="AE292" s="490"/>
    </row>
    <row r="293" spans="1:31" ht="13" hidden="1" x14ac:dyDescent="0.3">
      <c r="A293" s="998"/>
      <c r="B293" s="58">
        <v>5</v>
      </c>
      <c r="C293" s="58">
        <f>C52</f>
        <v>30</v>
      </c>
      <c r="D293" s="58">
        <f t="shared" ref="D293:F293" si="124">D52</f>
        <v>0.6</v>
      </c>
      <c r="E293" s="58">
        <f t="shared" si="124"/>
        <v>0.1</v>
      </c>
      <c r="F293" s="58" t="str">
        <f t="shared" si="124"/>
        <v>-</v>
      </c>
      <c r="G293" s="58">
        <f>G52</f>
        <v>0.25</v>
      </c>
      <c r="I293" s="998"/>
      <c r="J293" s="58">
        <v>5</v>
      </c>
      <c r="K293" s="58">
        <f>J52</f>
        <v>60</v>
      </c>
      <c r="L293" s="58">
        <f>K52</f>
        <v>-5.2</v>
      </c>
      <c r="M293" s="58">
        <f>L52</f>
        <v>-4.2</v>
      </c>
      <c r="N293" s="58" t="str">
        <f>M52</f>
        <v>-</v>
      </c>
      <c r="O293" s="58">
        <f>N52</f>
        <v>0.5</v>
      </c>
      <c r="Q293" s="998"/>
      <c r="R293" s="58">
        <v>5</v>
      </c>
      <c r="S293" s="58">
        <f>Q52</f>
        <v>900</v>
      </c>
      <c r="T293" s="58" t="str">
        <f>R52</f>
        <v>-</v>
      </c>
      <c r="U293" s="58" t="str">
        <f>S52</f>
        <v>-</v>
      </c>
      <c r="V293" s="58" t="str">
        <f>T52</f>
        <v>-</v>
      </c>
      <c r="W293" s="329">
        <f>U52</f>
        <v>0</v>
      </c>
      <c r="AE293" s="490"/>
    </row>
    <row r="294" spans="1:31" ht="13" hidden="1" x14ac:dyDescent="0.3">
      <c r="A294" s="998"/>
      <c r="B294" s="58">
        <v>6</v>
      </c>
      <c r="C294" s="58">
        <f>C63</f>
        <v>30</v>
      </c>
      <c r="D294" s="58">
        <f t="shared" ref="D294:F294" si="125">D63</f>
        <v>0.1</v>
      </c>
      <c r="E294" s="58">
        <f t="shared" si="125"/>
        <v>-0.5</v>
      </c>
      <c r="F294" s="58" t="str">
        <f t="shared" si="125"/>
        <v>-</v>
      </c>
      <c r="G294" s="58">
        <f>G63</f>
        <v>0.3</v>
      </c>
      <c r="I294" s="998"/>
      <c r="J294" s="58">
        <v>6</v>
      </c>
      <c r="K294" s="58">
        <f>J63</f>
        <v>60</v>
      </c>
      <c r="L294" s="58">
        <f>K63</f>
        <v>-6.4</v>
      </c>
      <c r="M294" s="58">
        <f>L63</f>
        <v>1.1000000000000001</v>
      </c>
      <c r="N294" s="58" t="str">
        <f>M63</f>
        <v>-</v>
      </c>
      <c r="O294" s="58">
        <f>N63</f>
        <v>3.75</v>
      </c>
      <c r="Q294" s="998"/>
      <c r="R294" s="58">
        <v>6</v>
      </c>
      <c r="S294" s="58">
        <f>Q63</f>
        <v>900</v>
      </c>
      <c r="T294" s="58">
        <f>R63</f>
        <v>0.9</v>
      </c>
      <c r="U294" s="58">
        <f>S63</f>
        <v>0.7</v>
      </c>
      <c r="V294" s="58" t="str">
        <f>T63</f>
        <v>-</v>
      </c>
      <c r="W294" s="329">
        <f>U63</f>
        <v>0.10000000000000003</v>
      </c>
      <c r="AE294" s="490"/>
    </row>
    <row r="295" spans="1:31" ht="13" hidden="1" x14ac:dyDescent="0.3">
      <c r="A295" s="998"/>
      <c r="B295" s="58">
        <v>7</v>
      </c>
      <c r="C295" s="58">
        <f>C74</f>
        <v>30</v>
      </c>
      <c r="D295" s="58">
        <f t="shared" ref="D295:F295" si="126">D74</f>
        <v>9.9999999999999995E-7</v>
      </c>
      <c r="E295" s="58">
        <f t="shared" si="126"/>
        <v>-0.6</v>
      </c>
      <c r="F295" s="58" t="str">
        <f t="shared" si="126"/>
        <v>-</v>
      </c>
      <c r="G295" s="58">
        <f>G74</f>
        <v>0.3000005</v>
      </c>
      <c r="I295" s="998"/>
      <c r="J295" s="58">
        <v>7</v>
      </c>
      <c r="K295" s="58">
        <f>J74</f>
        <v>60</v>
      </c>
      <c r="L295" s="58">
        <f>K74</f>
        <v>-2.1</v>
      </c>
      <c r="M295" s="58">
        <f>L74</f>
        <v>0.7</v>
      </c>
      <c r="N295" s="58" t="str">
        <f>M74</f>
        <v>-</v>
      </c>
      <c r="O295" s="58">
        <f>N74</f>
        <v>1.4</v>
      </c>
      <c r="Q295" s="998"/>
      <c r="R295" s="58">
        <v>7</v>
      </c>
      <c r="S295" s="58">
        <f>Q74</f>
        <v>900</v>
      </c>
      <c r="T295" s="58">
        <f>R74</f>
        <v>9.9999999999999995E-7</v>
      </c>
      <c r="U295" s="58">
        <f>S74</f>
        <v>1</v>
      </c>
      <c r="V295" s="58" t="str">
        <f>T74</f>
        <v>-</v>
      </c>
      <c r="W295" s="329">
        <f>U74</f>
        <v>0.49999949999999999</v>
      </c>
      <c r="AE295" s="490"/>
    </row>
    <row r="296" spans="1:31" ht="13" hidden="1" x14ac:dyDescent="0.3">
      <c r="A296" s="998"/>
      <c r="B296" s="58">
        <v>8</v>
      </c>
      <c r="C296" s="58">
        <f>C85</f>
        <v>30</v>
      </c>
      <c r="D296" s="58">
        <f t="shared" ref="D296:F296" si="127">D85</f>
        <v>-0.2</v>
      </c>
      <c r="E296" s="58">
        <f t="shared" si="127"/>
        <v>-0.4</v>
      </c>
      <c r="F296" s="58" t="str">
        <f t="shared" si="127"/>
        <v>-</v>
      </c>
      <c r="G296" s="58">
        <f>G85</f>
        <v>0.1</v>
      </c>
      <c r="I296" s="998"/>
      <c r="J296" s="58">
        <v>8</v>
      </c>
      <c r="K296" s="58">
        <f>J85</f>
        <v>60</v>
      </c>
      <c r="L296" s="58">
        <f>K85</f>
        <v>-3.9</v>
      </c>
      <c r="M296" s="58">
        <f>L85</f>
        <v>-1.1000000000000001</v>
      </c>
      <c r="N296" s="58" t="str">
        <f>M85</f>
        <v>-</v>
      </c>
      <c r="O296" s="58">
        <f>N85</f>
        <v>1.4</v>
      </c>
      <c r="Q296" s="998"/>
      <c r="R296" s="58">
        <v>8</v>
      </c>
      <c r="S296" s="58">
        <f>Q85</f>
        <v>900</v>
      </c>
      <c r="T296" s="58">
        <f>R85</f>
        <v>-4.4000000000000004</v>
      </c>
      <c r="U296" s="58">
        <f>S85</f>
        <v>9.9999999999999995E-7</v>
      </c>
      <c r="V296" s="58" t="str">
        <f>T85</f>
        <v>-</v>
      </c>
      <c r="W296" s="329">
        <f>U85</f>
        <v>2.2000005000000002</v>
      </c>
      <c r="AE296" s="490"/>
    </row>
    <row r="297" spans="1:31" ht="13" hidden="1" x14ac:dyDescent="0.3">
      <c r="A297" s="998"/>
      <c r="B297" s="58">
        <v>9</v>
      </c>
      <c r="C297" s="58">
        <f>C96</f>
        <v>30</v>
      </c>
      <c r="D297" s="58">
        <f t="shared" ref="D297:F297" si="128">D96</f>
        <v>-0.5</v>
      </c>
      <c r="E297" s="58" t="str">
        <f t="shared" si="128"/>
        <v>-</v>
      </c>
      <c r="F297" s="58" t="str">
        <f t="shared" si="128"/>
        <v>-</v>
      </c>
      <c r="G297" s="58">
        <f>G96</f>
        <v>0</v>
      </c>
      <c r="I297" s="998"/>
      <c r="J297" s="58">
        <v>9</v>
      </c>
      <c r="K297" s="58">
        <f>J96</f>
        <v>60</v>
      </c>
      <c r="L297" s="58">
        <f>K96</f>
        <v>-0.8</v>
      </c>
      <c r="M297" s="58" t="str">
        <f>L96</f>
        <v>-</v>
      </c>
      <c r="N297" s="58" t="str">
        <f>M96</f>
        <v>-</v>
      </c>
      <c r="O297" s="58">
        <f>N96</f>
        <v>0</v>
      </c>
      <c r="Q297" s="998"/>
      <c r="R297" s="58">
        <v>9</v>
      </c>
      <c r="S297" s="58">
        <f>Q96</f>
        <v>900</v>
      </c>
      <c r="T297" s="58">
        <f>R96</f>
        <v>9.9999999999999995E-7</v>
      </c>
      <c r="U297" s="58" t="str">
        <f>S96</f>
        <v>-</v>
      </c>
      <c r="V297" s="58" t="str">
        <f>T96</f>
        <v>-</v>
      </c>
      <c r="W297" s="329">
        <f>U96</f>
        <v>0</v>
      </c>
      <c r="AE297" s="490"/>
    </row>
    <row r="298" spans="1:31" ht="13" hidden="1" x14ac:dyDescent="0.3">
      <c r="A298" s="998"/>
      <c r="B298" s="58">
        <v>10</v>
      </c>
      <c r="C298" s="58">
        <f>C107</f>
        <v>30</v>
      </c>
      <c r="D298" s="58">
        <f t="shared" ref="D298:F298" si="129">D107</f>
        <v>0.3</v>
      </c>
      <c r="E298" s="58">
        <f t="shared" si="129"/>
        <v>0.1</v>
      </c>
      <c r="F298" s="58">
        <f t="shared" si="129"/>
        <v>0.2</v>
      </c>
      <c r="G298" s="58">
        <f>G107</f>
        <v>9.9999999999999992E-2</v>
      </c>
      <c r="I298" s="998"/>
      <c r="J298" s="58">
        <v>10</v>
      </c>
      <c r="K298" s="58">
        <f>J107</f>
        <v>60</v>
      </c>
      <c r="L298" s="58">
        <f>K107</f>
        <v>-3.9</v>
      </c>
      <c r="M298" s="58">
        <f>L107</f>
        <v>-2.1</v>
      </c>
      <c r="N298" s="58">
        <f>M107</f>
        <v>-5.6</v>
      </c>
      <c r="O298" s="58">
        <f>N107</f>
        <v>1.7499999999999998</v>
      </c>
      <c r="Q298" s="998"/>
      <c r="R298" s="58">
        <v>10</v>
      </c>
      <c r="S298" s="58">
        <f>Q107</f>
        <v>900</v>
      </c>
      <c r="T298" s="58" t="str">
        <f>R107</f>
        <v>-</v>
      </c>
      <c r="U298" s="58" t="str">
        <f>S107</f>
        <v>-</v>
      </c>
      <c r="V298" s="58" t="str">
        <f>T107</f>
        <v>-</v>
      </c>
      <c r="W298" s="329">
        <f>U107</f>
        <v>0</v>
      </c>
      <c r="AE298" s="490"/>
    </row>
    <row r="299" spans="1:31" ht="13" hidden="1" x14ac:dyDescent="0.3">
      <c r="A299" s="998"/>
      <c r="B299" s="58">
        <v>11</v>
      </c>
      <c r="C299" s="58">
        <f>C118</f>
        <v>30</v>
      </c>
      <c r="D299" s="58">
        <f t="shared" ref="D299:F299" si="130">D118</f>
        <v>0.2</v>
      </c>
      <c r="E299" s="58">
        <f t="shared" si="130"/>
        <v>0.5</v>
      </c>
      <c r="F299" s="58">
        <f t="shared" si="130"/>
        <v>0.4</v>
      </c>
      <c r="G299" s="58">
        <f>G118</f>
        <v>0.15</v>
      </c>
      <c r="I299" s="998"/>
      <c r="J299" s="58">
        <v>11</v>
      </c>
      <c r="K299" s="58">
        <f>J118</f>
        <v>60</v>
      </c>
      <c r="L299" s="58">
        <f>K118</f>
        <v>-4.3</v>
      </c>
      <c r="M299" s="58">
        <f>L118</f>
        <v>-4.8</v>
      </c>
      <c r="N299" s="58">
        <f>M118</f>
        <v>-4.5</v>
      </c>
      <c r="O299" s="58">
        <f>N118</f>
        <v>0.25</v>
      </c>
      <c r="Q299" s="998"/>
      <c r="R299" s="58">
        <v>11</v>
      </c>
      <c r="S299" s="58">
        <f>Q118</f>
        <v>900</v>
      </c>
      <c r="T299" s="58" t="str">
        <f>R118</f>
        <v>-</v>
      </c>
      <c r="U299" s="58" t="str">
        <f>S118</f>
        <v>-</v>
      </c>
      <c r="V299" s="58" t="str">
        <f>T118</f>
        <v>-</v>
      </c>
      <c r="W299" s="329">
        <f>U118</f>
        <v>0</v>
      </c>
      <c r="AE299" s="490"/>
    </row>
    <row r="300" spans="1:31" ht="13" hidden="1" x14ac:dyDescent="0.3">
      <c r="A300" s="998"/>
      <c r="B300" s="58">
        <v>12</v>
      </c>
      <c r="C300" s="58">
        <f>C129</f>
        <v>30</v>
      </c>
      <c r="D300" s="58">
        <f t="shared" ref="D300:F300" si="131">D129</f>
        <v>-0.1</v>
      </c>
      <c r="E300" s="58" t="str">
        <f t="shared" si="131"/>
        <v>-</v>
      </c>
      <c r="F300" s="58" t="str">
        <f t="shared" si="131"/>
        <v>-</v>
      </c>
      <c r="G300" s="58">
        <f>G129</f>
        <v>0</v>
      </c>
      <c r="I300" s="998"/>
      <c r="J300" s="58">
        <v>12</v>
      </c>
      <c r="K300" s="58">
        <f>J129</f>
        <v>60</v>
      </c>
      <c r="L300" s="58">
        <f>K129</f>
        <v>9.9999999999999995E-7</v>
      </c>
      <c r="M300" s="58" t="str">
        <f>L129</f>
        <v>-</v>
      </c>
      <c r="N300" s="58" t="str">
        <f>M129</f>
        <v>-</v>
      </c>
      <c r="O300" s="58">
        <f>N129</f>
        <v>0</v>
      </c>
      <c r="Q300" s="998"/>
      <c r="R300" s="58">
        <v>12</v>
      </c>
      <c r="S300" s="58">
        <f>Q129</f>
        <v>950</v>
      </c>
      <c r="T300" s="58">
        <f>R129</f>
        <v>-0.7</v>
      </c>
      <c r="U300" s="58" t="str">
        <f>S129</f>
        <v>-</v>
      </c>
      <c r="V300" s="58" t="str">
        <f>T129</f>
        <v>-</v>
      </c>
      <c r="W300" s="329">
        <f>U129</f>
        <v>0</v>
      </c>
      <c r="AE300" s="490"/>
    </row>
    <row r="301" spans="1:31" ht="13" hidden="1" x14ac:dyDescent="0.3">
      <c r="A301" s="998"/>
      <c r="B301" s="58">
        <v>13</v>
      </c>
      <c r="C301" s="58">
        <f>C151</f>
        <v>30</v>
      </c>
      <c r="D301" s="58">
        <f t="shared" ref="D301:F301" si="132">D151</f>
        <v>-0.4</v>
      </c>
      <c r="E301" s="58">
        <f t="shared" si="132"/>
        <v>-0.3</v>
      </c>
      <c r="F301" s="58" t="str">
        <f t="shared" si="132"/>
        <v>-</v>
      </c>
      <c r="G301" s="58">
        <f>G151</f>
        <v>5.0000000000000017E-2</v>
      </c>
      <c r="I301" s="998"/>
      <c r="J301" s="58">
        <v>13</v>
      </c>
      <c r="K301" s="58">
        <f>J140</f>
        <v>60</v>
      </c>
      <c r="L301" s="58">
        <f>K140</f>
        <v>-1.6</v>
      </c>
      <c r="M301" s="58">
        <f>L140</f>
        <v>-1.5</v>
      </c>
      <c r="N301" s="58" t="str">
        <f>M140</f>
        <v>-</v>
      </c>
      <c r="O301" s="58">
        <f>N140</f>
        <v>5.0000000000000044E-2</v>
      </c>
      <c r="Q301" s="998"/>
      <c r="R301" s="58">
        <v>13</v>
      </c>
      <c r="S301" s="58">
        <f>Q140</f>
        <v>1000</v>
      </c>
      <c r="T301" s="58">
        <f>R140</f>
        <v>3.7</v>
      </c>
      <c r="U301" s="58">
        <f>S140</f>
        <v>1.1000000000000001</v>
      </c>
      <c r="V301" s="58" t="str">
        <f>T140</f>
        <v>-</v>
      </c>
      <c r="W301" s="329">
        <f>U140</f>
        <v>1.3</v>
      </c>
      <c r="AE301" s="490"/>
    </row>
    <row r="302" spans="1:31" ht="13" hidden="1" x14ac:dyDescent="0.3">
      <c r="A302" s="998"/>
      <c r="B302" s="58">
        <v>14</v>
      </c>
      <c r="C302" s="58">
        <f>C151</f>
        <v>30</v>
      </c>
      <c r="D302" s="58">
        <f t="shared" ref="D302:F302" si="133">D151</f>
        <v>-0.4</v>
      </c>
      <c r="E302" s="58">
        <f t="shared" si="133"/>
        <v>-0.3</v>
      </c>
      <c r="F302" s="58" t="str">
        <f t="shared" si="133"/>
        <v>-</v>
      </c>
      <c r="G302" s="58">
        <f>G151</f>
        <v>5.0000000000000017E-2</v>
      </c>
      <c r="I302" s="998"/>
      <c r="J302" s="58">
        <v>14</v>
      </c>
      <c r="K302" s="58">
        <f>J151</f>
        <v>60</v>
      </c>
      <c r="L302" s="58">
        <f>K151</f>
        <v>0.3</v>
      </c>
      <c r="M302" s="58">
        <f>L151</f>
        <v>-0.6</v>
      </c>
      <c r="N302" s="58" t="str">
        <f>M151</f>
        <v>-</v>
      </c>
      <c r="O302" s="58">
        <f>N151</f>
        <v>0.44999999999999996</v>
      </c>
      <c r="Q302" s="998"/>
      <c r="R302" s="58">
        <v>14</v>
      </c>
      <c r="S302" s="58">
        <f>Q151</f>
        <v>1000</v>
      </c>
      <c r="T302" s="58">
        <f>R151</f>
        <v>3.8</v>
      </c>
      <c r="U302" s="58">
        <f>S151</f>
        <v>1.1000000000000001</v>
      </c>
      <c r="V302" s="58" t="str">
        <f>T151</f>
        <v>-</v>
      </c>
      <c r="W302" s="329">
        <f>U151</f>
        <v>1.3499999999999999</v>
      </c>
      <c r="AE302" s="490"/>
    </row>
    <row r="303" spans="1:31" ht="13" hidden="1" x14ac:dyDescent="0.3">
      <c r="A303" s="998"/>
      <c r="B303" s="58">
        <v>15</v>
      </c>
      <c r="C303" s="58">
        <f>C162</f>
        <v>30</v>
      </c>
      <c r="D303" s="58">
        <f t="shared" ref="D303:F303" si="134">D162</f>
        <v>0.4</v>
      </c>
      <c r="E303" s="58">
        <f t="shared" si="134"/>
        <v>-0.2</v>
      </c>
      <c r="F303" s="58" t="str">
        <f t="shared" si="134"/>
        <v>-</v>
      </c>
      <c r="G303" s="58">
        <f>G162</f>
        <v>0.30000000000000004</v>
      </c>
      <c r="I303" s="998"/>
      <c r="J303" s="58">
        <v>15</v>
      </c>
      <c r="K303" s="58">
        <f>J162</f>
        <v>60</v>
      </c>
      <c r="L303" s="58">
        <f>K162</f>
        <v>-1.1000000000000001</v>
      </c>
      <c r="M303" s="58">
        <f>L162</f>
        <v>-0.5</v>
      </c>
      <c r="N303" s="58" t="str">
        <f>M162</f>
        <v>-</v>
      </c>
      <c r="O303" s="58">
        <f>N162</f>
        <v>0.30000000000000004</v>
      </c>
      <c r="Q303" s="998"/>
      <c r="R303" s="58">
        <v>15</v>
      </c>
      <c r="S303" s="58">
        <f>Q162</f>
        <v>1000</v>
      </c>
      <c r="T303" s="58">
        <f>R162</f>
        <v>4.0999999999999996</v>
      </c>
      <c r="U303" s="58">
        <f>S162</f>
        <v>1.1000000000000001</v>
      </c>
      <c r="V303" s="58" t="str">
        <f>T162</f>
        <v>-</v>
      </c>
      <c r="W303" s="329">
        <f>U162</f>
        <v>1.4999999999999998</v>
      </c>
      <c r="AE303" s="490"/>
    </row>
    <row r="304" spans="1:31" ht="13" hidden="1" x14ac:dyDescent="0.3">
      <c r="A304" s="998"/>
      <c r="B304" s="58">
        <v>16</v>
      </c>
      <c r="C304" s="58">
        <f>C173</f>
        <v>30</v>
      </c>
      <c r="D304" s="58">
        <f t="shared" ref="D304:F304" si="135">D173</f>
        <v>0.2</v>
      </c>
      <c r="E304" s="58" t="str">
        <f t="shared" si="135"/>
        <v>-</v>
      </c>
      <c r="F304" s="58" t="str">
        <f t="shared" si="135"/>
        <v>-</v>
      </c>
      <c r="G304" s="58">
        <f>G173</f>
        <v>0</v>
      </c>
      <c r="I304" s="998"/>
      <c r="J304" s="58">
        <v>16</v>
      </c>
      <c r="K304" s="58">
        <f>J173</f>
        <v>60</v>
      </c>
      <c r="L304" s="58">
        <f>K173</f>
        <v>-1.5</v>
      </c>
      <c r="M304" s="58" t="str">
        <f>L173</f>
        <v>-</v>
      </c>
      <c r="N304" s="58" t="str">
        <f>M173</f>
        <v>-</v>
      </c>
      <c r="O304" s="58">
        <f>N173</f>
        <v>0</v>
      </c>
      <c r="Q304" s="998"/>
      <c r="R304" s="58">
        <v>16</v>
      </c>
      <c r="S304" s="58">
        <f>Q173</f>
        <v>950</v>
      </c>
      <c r="T304" s="58">
        <f>R173</f>
        <v>-1.1000000000000001</v>
      </c>
      <c r="U304" s="58" t="str">
        <f>S173</f>
        <v>-</v>
      </c>
      <c r="V304" s="58" t="str">
        <f>T173</f>
        <v>-</v>
      </c>
      <c r="W304" s="329">
        <f>U173</f>
        <v>0</v>
      </c>
      <c r="AE304" s="490"/>
    </row>
    <row r="305" spans="1:31" ht="13" hidden="1" x14ac:dyDescent="0.3">
      <c r="A305" s="998"/>
      <c r="B305" s="58">
        <v>17</v>
      </c>
      <c r="C305" s="58">
        <f>C184</f>
        <v>30</v>
      </c>
      <c r="D305" s="58">
        <f t="shared" ref="D305:F305" si="136">D184</f>
        <v>-0.2</v>
      </c>
      <c r="E305" s="58" t="str">
        <f t="shared" si="136"/>
        <v>-</v>
      </c>
      <c r="F305" s="58" t="str">
        <f t="shared" si="136"/>
        <v>-</v>
      </c>
      <c r="G305" s="58">
        <f>G184</f>
        <v>0</v>
      </c>
      <c r="I305" s="998"/>
      <c r="J305" s="58">
        <v>17</v>
      </c>
      <c r="K305" s="58">
        <f>J184</f>
        <v>60</v>
      </c>
      <c r="L305" s="58">
        <f>K184</f>
        <v>9.9999999999999995E-7</v>
      </c>
      <c r="M305" s="58" t="str">
        <f>L184</f>
        <v>-</v>
      </c>
      <c r="N305" s="58" t="str">
        <f>M184</f>
        <v>-</v>
      </c>
      <c r="O305" s="58">
        <f>N184</f>
        <v>0</v>
      </c>
      <c r="Q305" s="998"/>
      <c r="R305" s="58">
        <v>17</v>
      </c>
      <c r="S305" s="58">
        <f>Q184</f>
        <v>990</v>
      </c>
      <c r="T305" s="58">
        <f>R184</f>
        <v>-0.6</v>
      </c>
      <c r="U305" s="58" t="str">
        <f>S184</f>
        <v>-</v>
      </c>
      <c r="V305" s="58" t="str">
        <f>T184</f>
        <v>-</v>
      </c>
      <c r="W305" s="329">
        <f>U184</f>
        <v>0</v>
      </c>
      <c r="AE305" s="490"/>
    </row>
    <row r="306" spans="1:31" ht="13" hidden="1" x14ac:dyDescent="0.3">
      <c r="A306" s="998"/>
      <c r="B306" s="58">
        <v>18</v>
      </c>
      <c r="C306" s="58">
        <f>C195</f>
        <v>30</v>
      </c>
      <c r="D306" s="58">
        <f t="shared" ref="D306:F306" si="137">D195</f>
        <v>-0.2</v>
      </c>
      <c r="E306" s="58" t="str">
        <f t="shared" si="137"/>
        <v>-</v>
      </c>
      <c r="F306" s="58" t="str">
        <f t="shared" si="137"/>
        <v>-</v>
      </c>
      <c r="G306" s="58">
        <f>G195</f>
        <v>0</v>
      </c>
      <c r="I306" s="998"/>
      <c r="J306" s="58">
        <v>18</v>
      </c>
      <c r="K306" s="58">
        <f>J195</f>
        <v>60</v>
      </c>
      <c r="L306" s="58">
        <f>K195</f>
        <v>-0.2</v>
      </c>
      <c r="M306" s="58" t="str">
        <f>L195</f>
        <v>-</v>
      </c>
      <c r="N306" s="58" t="str">
        <f>M195</f>
        <v>-</v>
      </c>
      <c r="O306" s="58">
        <f>N195</f>
        <v>0</v>
      </c>
      <c r="Q306" s="998"/>
      <c r="R306" s="58">
        <v>18</v>
      </c>
      <c r="S306" s="58">
        <f>Q195</f>
        <v>950</v>
      </c>
      <c r="T306" s="58">
        <f>R195</f>
        <v>-0.9</v>
      </c>
      <c r="U306" s="58" t="str">
        <f>S195</f>
        <v>-</v>
      </c>
      <c r="V306" s="58" t="str">
        <f>T195</f>
        <v>-</v>
      </c>
      <c r="W306" s="329">
        <f>U195</f>
        <v>0</v>
      </c>
      <c r="AE306" s="490"/>
    </row>
    <row r="307" spans="1:31" ht="13" hidden="1" x14ac:dyDescent="0.3">
      <c r="A307" s="998"/>
      <c r="B307" s="58">
        <v>19</v>
      </c>
      <c r="C307" s="58">
        <f>C206</f>
        <v>30</v>
      </c>
      <c r="D307" s="58">
        <f t="shared" ref="D307:F307" si="138">D206</f>
        <v>-0.1</v>
      </c>
      <c r="E307" s="58" t="str">
        <f t="shared" si="138"/>
        <v>-</v>
      </c>
      <c r="F307" s="58" t="str">
        <f t="shared" si="138"/>
        <v>-</v>
      </c>
      <c r="G307" s="58">
        <f>G206</f>
        <v>0</v>
      </c>
      <c r="I307" s="998"/>
      <c r="J307" s="58">
        <v>19</v>
      </c>
      <c r="K307" s="58">
        <f>J206</f>
        <v>60</v>
      </c>
      <c r="L307" s="58">
        <f>K206</f>
        <v>0.4</v>
      </c>
      <c r="M307" s="58" t="str">
        <f>L206</f>
        <v>-</v>
      </c>
      <c r="N307" s="58" t="str">
        <f>M206</f>
        <v>-</v>
      </c>
      <c r="O307" s="58">
        <f>N206</f>
        <v>0</v>
      </c>
      <c r="Q307" s="998"/>
      <c r="R307" s="58">
        <v>19</v>
      </c>
      <c r="S307" s="58">
        <f>Q206</f>
        <v>900</v>
      </c>
      <c r="T307" s="58">
        <f>R206</f>
        <v>2.2999999999999998</v>
      </c>
      <c r="U307" s="58" t="str">
        <f>S206</f>
        <v>-</v>
      </c>
      <c r="V307" s="58" t="str">
        <f>T206</f>
        <v>-</v>
      </c>
      <c r="W307" s="329">
        <f>U206</f>
        <v>0</v>
      </c>
      <c r="AE307" s="490"/>
    </row>
    <row r="308" spans="1:31" ht="13.5" hidden="1" thickBot="1" x14ac:dyDescent="0.35">
      <c r="A308" s="998"/>
      <c r="B308" s="58">
        <v>20</v>
      </c>
      <c r="C308" s="58">
        <f>C217</f>
        <v>29.5</v>
      </c>
      <c r="D308" s="58">
        <f t="shared" ref="D308:F308" si="139">D217</f>
        <v>9.9999999999999995E-7</v>
      </c>
      <c r="E308" s="58" t="str">
        <f t="shared" si="139"/>
        <v>-</v>
      </c>
      <c r="F308" s="58" t="str">
        <f t="shared" si="139"/>
        <v>-</v>
      </c>
      <c r="G308" s="58">
        <f>G217</f>
        <v>0</v>
      </c>
      <c r="I308" s="998"/>
      <c r="J308" s="58">
        <v>20</v>
      </c>
      <c r="K308" s="58">
        <f>J217</f>
        <v>71.5</v>
      </c>
      <c r="L308" s="58">
        <f>K217</f>
        <v>9.9999999999999995E-7</v>
      </c>
      <c r="M308" s="58" t="str">
        <f>L217</f>
        <v>-</v>
      </c>
      <c r="N308" s="58" t="str">
        <f>M217</f>
        <v>-</v>
      </c>
      <c r="O308" s="58">
        <f>N217</f>
        <v>0</v>
      </c>
      <c r="Q308" s="999"/>
      <c r="R308" s="338">
        <v>20</v>
      </c>
      <c r="S308" s="338">
        <f>Q217</f>
        <v>900</v>
      </c>
      <c r="T308" s="338">
        <f>R217</f>
        <v>9.9999999999999995E-7</v>
      </c>
      <c r="U308" s="338" t="str">
        <f>S217</f>
        <v>-</v>
      </c>
      <c r="V308" s="338" t="str">
        <f>T217</f>
        <v>-</v>
      </c>
      <c r="W308" s="339">
        <f>U217</f>
        <v>0</v>
      </c>
      <c r="AE308" s="576"/>
    </row>
    <row r="309" spans="1:31" ht="13" hidden="1" x14ac:dyDescent="0.3">
      <c r="A309" s="205"/>
      <c r="B309" s="205"/>
      <c r="C309" s="205"/>
      <c r="D309" s="205"/>
      <c r="E309" s="205"/>
      <c r="F309" s="473"/>
      <c r="G309" s="205"/>
      <c r="I309" s="205"/>
      <c r="J309" s="205"/>
      <c r="K309" s="205"/>
      <c r="L309" s="205"/>
      <c r="M309" s="205"/>
      <c r="N309" s="473"/>
      <c r="O309" s="205"/>
      <c r="Q309" s="581"/>
      <c r="R309" s="582"/>
      <c r="S309" s="60"/>
      <c r="T309" s="60"/>
      <c r="U309" s="60"/>
      <c r="W309" s="61"/>
      <c r="AE309" s="490"/>
    </row>
    <row r="310" spans="1:31" ht="13" hidden="1" x14ac:dyDescent="0.3">
      <c r="A310" s="998">
        <v>5</v>
      </c>
      <c r="B310" s="58">
        <v>1</v>
      </c>
      <c r="C310" s="58">
        <f>C9</f>
        <v>35</v>
      </c>
      <c r="D310" s="58">
        <f t="shared" ref="D310:F310" si="140">D9</f>
        <v>-0.1</v>
      </c>
      <c r="E310" s="58">
        <f t="shared" si="140"/>
        <v>-0.5</v>
      </c>
      <c r="F310" s="58" t="str">
        <f t="shared" si="140"/>
        <v>-</v>
      </c>
      <c r="G310" s="58">
        <f>G9</f>
        <v>0.2</v>
      </c>
      <c r="I310" s="998">
        <v>5</v>
      </c>
      <c r="J310" s="58">
        <v>1</v>
      </c>
      <c r="K310" s="58">
        <f>J20</f>
        <v>70</v>
      </c>
      <c r="L310" s="58">
        <f>K20</f>
        <v>-2.4</v>
      </c>
      <c r="M310" s="58">
        <f>L20</f>
        <v>-1.1000000000000001</v>
      </c>
      <c r="N310" s="58" t="str">
        <f>M20</f>
        <v>-</v>
      </c>
      <c r="O310" s="58">
        <f>N20</f>
        <v>0.64999999999999991</v>
      </c>
      <c r="Q310" s="997">
        <v>5</v>
      </c>
      <c r="R310" s="340">
        <v>1</v>
      </c>
      <c r="S310" s="340">
        <f>Q9</f>
        <v>1000</v>
      </c>
      <c r="T310" s="340" t="str">
        <f>R9</f>
        <v>-</v>
      </c>
      <c r="U310" s="340" t="str">
        <f>S9</f>
        <v>-</v>
      </c>
      <c r="V310" s="340" t="str">
        <f>T9</f>
        <v>-</v>
      </c>
      <c r="W310" s="341">
        <f>U9</f>
        <v>0</v>
      </c>
      <c r="AE310" s="579"/>
    </row>
    <row r="311" spans="1:31" ht="13" hidden="1" x14ac:dyDescent="0.3">
      <c r="A311" s="998"/>
      <c r="B311" s="58">
        <v>2</v>
      </c>
      <c r="C311" s="58">
        <f>C20</f>
        <v>35</v>
      </c>
      <c r="D311" s="58">
        <f t="shared" ref="D311:F311" si="141">D20</f>
        <v>-0.1</v>
      </c>
      <c r="E311" s="58">
        <f t="shared" si="141"/>
        <v>-0.3</v>
      </c>
      <c r="F311" s="58" t="str">
        <f t="shared" si="141"/>
        <v>-</v>
      </c>
      <c r="G311" s="58">
        <f>G20</f>
        <v>9.9999999999999992E-2</v>
      </c>
      <c r="I311" s="998"/>
      <c r="J311" s="58">
        <v>2</v>
      </c>
      <c r="K311" s="58">
        <f>J20</f>
        <v>70</v>
      </c>
      <c r="L311" s="58">
        <f>K20</f>
        <v>-2.4</v>
      </c>
      <c r="M311" s="58">
        <f>L20</f>
        <v>-1.1000000000000001</v>
      </c>
      <c r="N311" s="58" t="str">
        <f>M20</f>
        <v>-</v>
      </c>
      <c r="O311" s="58">
        <f>N20</f>
        <v>0.64999999999999991</v>
      </c>
      <c r="Q311" s="998"/>
      <c r="R311" s="58">
        <v>2</v>
      </c>
      <c r="S311" s="58">
        <f>Q20</f>
        <v>1000</v>
      </c>
      <c r="T311" s="58" t="str">
        <f>R20</f>
        <v>-</v>
      </c>
      <c r="U311" s="58" t="str">
        <f>S20</f>
        <v>-</v>
      </c>
      <c r="V311" s="58" t="str">
        <f>T20</f>
        <v>-</v>
      </c>
      <c r="W311" s="329">
        <f>U20</f>
        <v>0</v>
      </c>
      <c r="AE311" s="490"/>
    </row>
    <row r="312" spans="1:31" ht="13" hidden="1" x14ac:dyDescent="0.3">
      <c r="A312" s="998"/>
      <c r="B312" s="58">
        <v>3</v>
      </c>
      <c r="C312" s="58">
        <f>C31</f>
        <v>35</v>
      </c>
      <c r="D312" s="58">
        <f t="shared" ref="D312:F312" si="142">D31</f>
        <v>-0.3</v>
      </c>
      <c r="E312" s="58">
        <f t="shared" si="142"/>
        <v>-0.5</v>
      </c>
      <c r="F312" s="58" t="str">
        <f t="shared" si="142"/>
        <v>-</v>
      </c>
      <c r="G312" s="58">
        <f>G31</f>
        <v>0.1</v>
      </c>
      <c r="I312" s="998"/>
      <c r="J312" s="58">
        <v>3</v>
      </c>
      <c r="K312" s="58">
        <f>J31</f>
        <v>70</v>
      </c>
      <c r="L312" s="58">
        <f>K31</f>
        <v>-2</v>
      </c>
      <c r="M312" s="58">
        <f>L31</f>
        <v>-3.6</v>
      </c>
      <c r="N312" s="58" t="str">
        <f>M31</f>
        <v>-</v>
      </c>
      <c r="O312" s="58">
        <f>N31</f>
        <v>0.8</v>
      </c>
      <c r="Q312" s="998"/>
      <c r="R312" s="58">
        <v>3</v>
      </c>
      <c r="S312" s="58">
        <f>Q31</f>
        <v>1000</v>
      </c>
      <c r="T312" s="58" t="str">
        <f>R31</f>
        <v>-</v>
      </c>
      <c r="U312" s="58" t="str">
        <f>S31</f>
        <v>-</v>
      </c>
      <c r="V312" s="58" t="str">
        <f>T31</f>
        <v>-</v>
      </c>
      <c r="W312" s="329">
        <f>U31</f>
        <v>0</v>
      </c>
      <c r="AE312" s="490"/>
    </row>
    <row r="313" spans="1:31" ht="13" hidden="1" x14ac:dyDescent="0.3">
      <c r="A313" s="998"/>
      <c r="B313" s="58">
        <v>4</v>
      </c>
      <c r="C313" s="58">
        <f>C42</f>
        <v>35</v>
      </c>
      <c r="D313" s="58">
        <f t="shared" ref="D313:F313" si="143">D42</f>
        <v>-0.3</v>
      </c>
      <c r="E313" s="58">
        <f t="shared" si="143"/>
        <v>-0.6</v>
      </c>
      <c r="F313" s="58" t="str">
        <f t="shared" si="143"/>
        <v>-</v>
      </c>
      <c r="G313" s="58">
        <f>G42</f>
        <v>0.15</v>
      </c>
      <c r="I313" s="998"/>
      <c r="J313" s="58">
        <v>4</v>
      </c>
      <c r="K313" s="58">
        <f>J42</f>
        <v>70</v>
      </c>
      <c r="L313" s="58">
        <f>K42</f>
        <v>-4</v>
      </c>
      <c r="M313" s="58">
        <f>L42</f>
        <v>0.7</v>
      </c>
      <c r="N313" s="58" t="str">
        <f>M42</f>
        <v>-</v>
      </c>
      <c r="O313" s="58">
        <f>N42</f>
        <v>2.35</v>
      </c>
      <c r="Q313" s="998"/>
      <c r="R313" s="58">
        <v>4</v>
      </c>
      <c r="S313" s="58">
        <f>Q42</f>
        <v>1000</v>
      </c>
      <c r="T313" s="58" t="str">
        <f>R42</f>
        <v>-</v>
      </c>
      <c r="U313" s="58" t="str">
        <f>S42</f>
        <v>-</v>
      </c>
      <c r="V313" s="58" t="str">
        <f>T42</f>
        <v>-</v>
      </c>
      <c r="W313" s="329">
        <f>U42</f>
        <v>0</v>
      </c>
      <c r="AE313" s="490"/>
    </row>
    <row r="314" spans="1:31" ht="13" hidden="1" x14ac:dyDescent="0.3">
      <c r="A314" s="998"/>
      <c r="B314" s="58">
        <v>5</v>
      </c>
      <c r="C314" s="58">
        <f>C53</f>
        <v>35</v>
      </c>
      <c r="D314" s="58">
        <f t="shared" ref="D314:F314" si="144">D53</f>
        <v>0.7</v>
      </c>
      <c r="E314" s="58">
        <f t="shared" si="144"/>
        <v>9.9999999999999995E-7</v>
      </c>
      <c r="F314" s="58" t="str">
        <f t="shared" si="144"/>
        <v>-</v>
      </c>
      <c r="G314" s="58">
        <f>G53</f>
        <v>0.34999949999999996</v>
      </c>
      <c r="I314" s="998"/>
      <c r="J314" s="58">
        <v>5</v>
      </c>
      <c r="K314" s="58">
        <f>J53</f>
        <v>70</v>
      </c>
      <c r="L314" s="58">
        <f>K53</f>
        <v>-4.0999999999999996</v>
      </c>
      <c r="M314" s="58">
        <f>L53</f>
        <v>-2.1</v>
      </c>
      <c r="N314" s="58" t="str">
        <f>M53</f>
        <v>-</v>
      </c>
      <c r="O314" s="58">
        <f>N53</f>
        <v>0.99999999999999978</v>
      </c>
      <c r="Q314" s="998"/>
      <c r="R314" s="58">
        <v>5</v>
      </c>
      <c r="S314" s="58">
        <f>Q53</f>
        <v>1000</v>
      </c>
      <c r="T314" s="58" t="str">
        <f>R53</f>
        <v>-</v>
      </c>
      <c r="U314" s="58" t="str">
        <f>S53</f>
        <v>-</v>
      </c>
      <c r="V314" s="58" t="str">
        <f>T53</f>
        <v>-</v>
      </c>
      <c r="W314" s="329">
        <f>U53</f>
        <v>0</v>
      </c>
      <c r="AE314" s="490"/>
    </row>
    <row r="315" spans="1:31" ht="13" hidden="1" x14ac:dyDescent="0.3">
      <c r="A315" s="998"/>
      <c r="B315" s="58">
        <v>6</v>
      </c>
      <c r="C315" s="58">
        <f>C64</f>
        <v>35</v>
      </c>
      <c r="D315" s="58">
        <f t="shared" ref="D315:F315" si="145">D64</f>
        <v>0.1</v>
      </c>
      <c r="E315" s="58">
        <f t="shared" si="145"/>
        <v>-0.9</v>
      </c>
      <c r="F315" s="58" t="str">
        <f t="shared" si="145"/>
        <v>-</v>
      </c>
      <c r="G315" s="58">
        <f>G64</f>
        <v>0.5</v>
      </c>
      <c r="I315" s="998"/>
      <c r="J315" s="58">
        <v>6</v>
      </c>
      <c r="K315" s="58">
        <f>J64</f>
        <v>70</v>
      </c>
      <c r="L315" s="58">
        <f>K64</f>
        <v>-6.7</v>
      </c>
      <c r="M315" s="58">
        <f>L64</f>
        <v>0.9</v>
      </c>
      <c r="N315" s="58" t="str">
        <f>M64</f>
        <v>-</v>
      </c>
      <c r="O315" s="58">
        <f>N64</f>
        <v>3.8000000000000003</v>
      </c>
      <c r="Q315" s="998"/>
      <c r="R315" s="58">
        <v>6</v>
      </c>
      <c r="S315" s="58">
        <f>Q64</f>
        <v>1000</v>
      </c>
      <c r="T315" s="58">
        <f>R64</f>
        <v>0.9</v>
      </c>
      <c r="U315" s="58">
        <f>S64</f>
        <v>-0.3</v>
      </c>
      <c r="V315" s="58" t="str">
        <f>T64</f>
        <v>-</v>
      </c>
      <c r="W315" s="329">
        <f>U64</f>
        <v>0.6</v>
      </c>
      <c r="AE315" s="490"/>
    </row>
    <row r="316" spans="1:31" ht="13" hidden="1" x14ac:dyDescent="0.3">
      <c r="A316" s="998"/>
      <c r="B316" s="58">
        <v>7</v>
      </c>
      <c r="C316" s="58">
        <f>C75</f>
        <v>35</v>
      </c>
      <c r="D316" s="58">
        <f t="shared" ref="D316:F316" si="146">D75</f>
        <v>9.9999999999999995E-7</v>
      </c>
      <c r="E316" s="58">
        <f t="shared" si="146"/>
        <v>-1.1000000000000001</v>
      </c>
      <c r="F316" s="58" t="str">
        <f t="shared" si="146"/>
        <v>-</v>
      </c>
      <c r="G316" s="58">
        <f>G75</f>
        <v>0.5500005</v>
      </c>
      <c r="I316" s="998"/>
      <c r="J316" s="58">
        <v>7</v>
      </c>
      <c r="K316" s="58">
        <f>J75</f>
        <v>70</v>
      </c>
      <c r="L316" s="58">
        <f>K75</f>
        <v>-2.2999999999999998</v>
      </c>
      <c r="M316" s="58">
        <f>L75</f>
        <v>0.9</v>
      </c>
      <c r="N316" s="58" t="str">
        <f>M75</f>
        <v>-</v>
      </c>
      <c r="O316" s="58">
        <f>N75</f>
        <v>1.5999999999999999</v>
      </c>
      <c r="Q316" s="998"/>
      <c r="R316" s="58">
        <v>7</v>
      </c>
      <c r="S316" s="58">
        <f>Q75</f>
        <v>1000</v>
      </c>
      <c r="T316" s="58">
        <f>R75</f>
        <v>-3.9</v>
      </c>
      <c r="U316" s="58">
        <f>S75</f>
        <v>-0.4</v>
      </c>
      <c r="V316" s="58" t="str">
        <f>T75</f>
        <v>-</v>
      </c>
      <c r="W316" s="329">
        <f>U75</f>
        <v>1.75</v>
      </c>
      <c r="AE316" s="490"/>
    </row>
    <row r="317" spans="1:31" ht="13" hidden="1" x14ac:dyDescent="0.3">
      <c r="A317" s="998"/>
      <c r="B317" s="58">
        <v>8</v>
      </c>
      <c r="C317" s="58">
        <f>C86</f>
        <v>35</v>
      </c>
      <c r="D317" s="58">
        <f t="shared" ref="D317:F317" si="147">D86</f>
        <v>-0.1</v>
      </c>
      <c r="E317" s="58">
        <f t="shared" si="147"/>
        <v>-0.5</v>
      </c>
      <c r="F317" s="58" t="str">
        <f t="shared" si="147"/>
        <v>-</v>
      </c>
      <c r="G317" s="58">
        <f>G86</f>
        <v>0.2</v>
      </c>
      <c r="I317" s="998"/>
      <c r="J317" s="58">
        <v>8</v>
      </c>
      <c r="K317" s="58">
        <f>J86</f>
        <v>70</v>
      </c>
      <c r="L317" s="58">
        <f>K86</f>
        <v>-4.0999999999999996</v>
      </c>
      <c r="M317" s="58">
        <f>L86</f>
        <v>-1.2</v>
      </c>
      <c r="N317" s="58" t="str">
        <f>M86</f>
        <v>-</v>
      </c>
      <c r="O317" s="58">
        <f>N86</f>
        <v>1.4499999999999997</v>
      </c>
      <c r="Q317" s="998"/>
      <c r="R317" s="58">
        <v>8</v>
      </c>
      <c r="S317" s="58">
        <f>Q86</f>
        <v>1000</v>
      </c>
      <c r="T317" s="58">
        <f>R86</f>
        <v>-3.5</v>
      </c>
      <c r="U317" s="58">
        <f>S86</f>
        <v>0.2</v>
      </c>
      <c r="V317" s="58" t="str">
        <f>T86</f>
        <v>-</v>
      </c>
      <c r="W317" s="329">
        <f>U86</f>
        <v>1.85</v>
      </c>
      <c r="AE317" s="490"/>
    </row>
    <row r="318" spans="1:31" ht="13" hidden="1" x14ac:dyDescent="0.3">
      <c r="A318" s="998"/>
      <c r="B318" s="58">
        <v>9</v>
      </c>
      <c r="C318" s="58">
        <f>C97</f>
        <v>35</v>
      </c>
      <c r="D318" s="58">
        <f t="shared" ref="D318:F318" si="148">D97</f>
        <v>-0.5</v>
      </c>
      <c r="E318" s="58" t="str">
        <f t="shared" si="148"/>
        <v>-</v>
      </c>
      <c r="F318" s="58" t="str">
        <f t="shared" si="148"/>
        <v>-</v>
      </c>
      <c r="G318" s="58">
        <f>G97</f>
        <v>0</v>
      </c>
      <c r="I318" s="998"/>
      <c r="J318" s="58">
        <v>9</v>
      </c>
      <c r="K318" s="58">
        <f>J97</f>
        <v>70</v>
      </c>
      <c r="L318" s="58">
        <f>K97</f>
        <v>-0.6</v>
      </c>
      <c r="M318" s="58" t="str">
        <f>L97</f>
        <v>-</v>
      </c>
      <c r="N318" s="58" t="str">
        <f>M97</f>
        <v>-</v>
      </c>
      <c r="O318" s="58">
        <f>N97</f>
        <v>0</v>
      </c>
      <c r="Q318" s="998"/>
      <c r="R318" s="58">
        <v>9</v>
      </c>
      <c r="S318" s="58">
        <f>Q97</f>
        <v>1000</v>
      </c>
      <c r="T318" s="58">
        <f>R97</f>
        <v>0.2</v>
      </c>
      <c r="U318" s="58" t="str">
        <f>S97</f>
        <v>-</v>
      </c>
      <c r="V318" s="58" t="str">
        <f>T97</f>
        <v>-</v>
      </c>
      <c r="W318" s="329">
        <f>U97</f>
        <v>0</v>
      </c>
      <c r="AE318" s="490"/>
    </row>
    <row r="319" spans="1:31" ht="13" hidden="1" x14ac:dyDescent="0.3">
      <c r="A319" s="998"/>
      <c r="B319" s="58">
        <v>10</v>
      </c>
      <c r="C319" s="58">
        <f>C108</f>
        <v>35</v>
      </c>
      <c r="D319" s="58">
        <f t="shared" ref="D319:F319" si="149">D108</f>
        <v>0.3</v>
      </c>
      <c r="E319" s="58">
        <f t="shared" si="149"/>
        <v>0.2</v>
      </c>
      <c r="F319" s="58">
        <f t="shared" si="149"/>
        <v>0.8</v>
      </c>
      <c r="G319" s="58">
        <f>G108</f>
        <v>0.30000000000000004</v>
      </c>
      <c r="I319" s="998"/>
      <c r="J319" s="58">
        <v>10</v>
      </c>
      <c r="K319" s="58">
        <f>J108</f>
        <v>70</v>
      </c>
      <c r="L319" s="58">
        <f>K108</f>
        <v>-2</v>
      </c>
      <c r="M319" s="58">
        <f>L108</f>
        <v>-0.3</v>
      </c>
      <c r="N319" s="58">
        <f>M108</f>
        <v>-5.0999999999999996</v>
      </c>
      <c r="O319" s="58">
        <f>N108</f>
        <v>2.4</v>
      </c>
      <c r="Q319" s="998"/>
      <c r="R319" s="58">
        <v>10</v>
      </c>
      <c r="S319" s="58">
        <f>Q108</f>
        <v>1000</v>
      </c>
      <c r="T319" s="58" t="str">
        <f>R108</f>
        <v>-</v>
      </c>
      <c r="U319" s="58" t="str">
        <f>S108</f>
        <v>-</v>
      </c>
      <c r="V319" s="58" t="str">
        <f>T108</f>
        <v>-</v>
      </c>
      <c r="W319" s="329">
        <f>U108</f>
        <v>0</v>
      </c>
      <c r="AE319" s="490"/>
    </row>
    <row r="320" spans="1:31" ht="13" hidden="1" x14ac:dyDescent="0.3">
      <c r="A320" s="998"/>
      <c r="B320" s="58">
        <v>11</v>
      </c>
      <c r="C320" s="58">
        <f>C119</f>
        <v>35</v>
      </c>
      <c r="D320" s="58">
        <f t="shared" ref="D320:F320" si="150">D119</f>
        <v>-0.1</v>
      </c>
      <c r="E320" s="58">
        <f t="shared" si="150"/>
        <v>0.5</v>
      </c>
      <c r="F320" s="58">
        <f t="shared" si="150"/>
        <v>0.4</v>
      </c>
      <c r="G320" s="58">
        <f>G119</f>
        <v>0.3</v>
      </c>
      <c r="I320" s="998"/>
      <c r="J320" s="58">
        <v>11</v>
      </c>
      <c r="K320" s="58">
        <f>J119</f>
        <v>70</v>
      </c>
      <c r="L320" s="58">
        <f>K119</f>
        <v>-2.2000000000000002</v>
      </c>
      <c r="M320" s="58">
        <f>L119</f>
        <v>-3.4</v>
      </c>
      <c r="N320" s="58">
        <f>M119</f>
        <v>-1.7</v>
      </c>
      <c r="O320" s="58">
        <f>N119</f>
        <v>0.85</v>
      </c>
      <c r="Q320" s="998"/>
      <c r="R320" s="58">
        <v>11</v>
      </c>
      <c r="S320" s="58">
        <f>Q119</f>
        <v>1000</v>
      </c>
      <c r="T320" s="58" t="str">
        <f>R119</f>
        <v>-</v>
      </c>
      <c r="U320" s="58" t="str">
        <f>S119</f>
        <v>-</v>
      </c>
      <c r="V320" s="58" t="str">
        <f>T119</f>
        <v>-</v>
      </c>
      <c r="W320" s="329">
        <f>U119</f>
        <v>0</v>
      </c>
      <c r="AE320" s="490"/>
    </row>
    <row r="321" spans="1:31" ht="13" hidden="1" x14ac:dyDescent="0.3">
      <c r="A321" s="998"/>
      <c r="B321" s="58">
        <v>12</v>
      </c>
      <c r="C321" s="58">
        <f>C130</f>
        <v>35</v>
      </c>
      <c r="D321" s="58">
        <f t="shared" ref="D321:F321" si="151">D130</f>
        <v>-0.2</v>
      </c>
      <c r="E321" s="58" t="str">
        <f t="shared" si="151"/>
        <v>-</v>
      </c>
      <c r="F321" s="58" t="str">
        <f t="shared" si="151"/>
        <v>-</v>
      </c>
      <c r="G321" s="58">
        <f>G130</f>
        <v>0</v>
      </c>
      <c r="I321" s="998"/>
      <c r="J321" s="58">
        <v>12</v>
      </c>
      <c r="K321" s="58">
        <f>J130</f>
        <v>70</v>
      </c>
      <c r="L321" s="58">
        <f>K130</f>
        <v>-0.1</v>
      </c>
      <c r="M321" s="58" t="str">
        <f>L130</f>
        <v>-</v>
      </c>
      <c r="N321" s="58" t="str">
        <f>M130</f>
        <v>-</v>
      </c>
      <c r="O321" s="58">
        <f>N130</f>
        <v>0</v>
      </c>
      <c r="Q321" s="998"/>
      <c r="R321" s="58">
        <v>12</v>
      </c>
      <c r="S321" s="58">
        <f>Q130</f>
        <v>1000</v>
      </c>
      <c r="T321" s="58">
        <f>R130</f>
        <v>-0.8</v>
      </c>
      <c r="U321" s="58" t="str">
        <f>S130</f>
        <v>-</v>
      </c>
      <c r="V321" s="58" t="str">
        <f>T130</f>
        <v>-</v>
      </c>
      <c r="W321" s="329">
        <f>U130</f>
        <v>0</v>
      </c>
      <c r="AE321" s="490"/>
    </row>
    <row r="322" spans="1:31" ht="13" hidden="1" x14ac:dyDescent="0.3">
      <c r="A322" s="998"/>
      <c r="B322" s="58">
        <v>13</v>
      </c>
      <c r="C322" s="58">
        <f>C141</f>
        <v>35</v>
      </c>
      <c r="D322" s="58">
        <f t="shared" ref="D322:F322" si="152">D141</f>
        <v>-0.2</v>
      </c>
      <c r="E322" s="58">
        <f t="shared" si="152"/>
        <v>0.3</v>
      </c>
      <c r="F322" s="58" t="str">
        <f t="shared" si="152"/>
        <v>-</v>
      </c>
      <c r="G322" s="58">
        <f>G141</f>
        <v>0.25</v>
      </c>
      <c r="I322" s="998"/>
      <c r="J322" s="58">
        <v>13</v>
      </c>
      <c r="K322" s="58">
        <f>J141</f>
        <v>70</v>
      </c>
      <c r="L322" s="58">
        <f>K141</f>
        <v>-1.4</v>
      </c>
      <c r="M322" s="58">
        <f>L141</f>
        <v>-1.9</v>
      </c>
      <c r="N322" s="58" t="str">
        <f>M141</f>
        <v>-</v>
      </c>
      <c r="O322" s="58">
        <f>N141</f>
        <v>0.25</v>
      </c>
      <c r="Q322" s="998"/>
      <c r="R322" s="58">
        <v>13</v>
      </c>
      <c r="S322" s="58">
        <f>Q141</f>
        <v>1005</v>
      </c>
      <c r="T322" s="58">
        <f>R141</f>
        <v>3.6</v>
      </c>
      <c r="U322" s="58">
        <f>S141</f>
        <v>1.1000000000000001</v>
      </c>
      <c r="V322" s="58" t="str">
        <f>T141</f>
        <v>-</v>
      </c>
      <c r="W322" s="329">
        <f>U141</f>
        <v>1.25</v>
      </c>
      <c r="AE322" s="490"/>
    </row>
    <row r="323" spans="1:31" ht="13" hidden="1" x14ac:dyDescent="0.3">
      <c r="A323" s="998"/>
      <c r="B323" s="58">
        <v>14</v>
      </c>
      <c r="C323" s="58">
        <f>C152</f>
        <v>35</v>
      </c>
      <c r="D323" s="58">
        <f t="shared" ref="D323:F323" si="153">D152</f>
        <v>-0.6</v>
      </c>
      <c r="E323" s="58">
        <f t="shared" si="153"/>
        <v>-0.6</v>
      </c>
      <c r="F323" s="58" t="str">
        <f t="shared" si="153"/>
        <v>-</v>
      </c>
      <c r="G323" s="58">
        <f>G152</f>
        <v>0</v>
      </c>
      <c r="I323" s="998"/>
      <c r="J323" s="58">
        <v>14</v>
      </c>
      <c r="K323" s="58">
        <f>J152</f>
        <v>70</v>
      </c>
      <c r="L323" s="58">
        <f>K152</f>
        <v>0.7</v>
      </c>
      <c r="M323" s="58">
        <f>L152</f>
        <v>-0.8</v>
      </c>
      <c r="N323" s="58" t="str">
        <f>M152</f>
        <v>-</v>
      </c>
      <c r="O323" s="58">
        <f>N152</f>
        <v>0.75</v>
      </c>
      <c r="Q323" s="998"/>
      <c r="R323" s="58">
        <v>14</v>
      </c>
      <c r="S323" s="58">
        <f>Q152</f>
        <v>1005</v>
      </c>
      <c r="T323" s="58">
        <f>R152</f>
        <v>3.8</v>
      </c>
      <c r="U323" s="58">
        <f>S152</f>
        <v>1.1000000000000001</v>
      </c>
      <c r="V323" s="58" t="str">
        <f>T152</f>
        <v>-</v>
      </c>
      <c r="W323" s="329">
        <f>U152</f>
        <v>1.3499999999999999</v>
      </c>
      <c r="AE323" s="490"/>
    </row>
    <row r="324" spans="1:31" ht="13" hidden="1" x14ac:dyDescent="0.3">
      <c r="A324" s="998"/>
      <c r="B324" s="58">
        <v>15</v>
      </c>
      <c r="C324" s="58">
        <f>C163</f>
        <v>35</v>
      </c>
      <c r="D324" s="58">
        <f t="shared" ref="D324:F324" si="154">D163</f>
        <v>0.8</v>
      </c>
      <c r="E324" s="58">
        <f t="shared" si="154"/>
        <v>-0.1</v>
      </c>
      <c r="F324" s="58" t="str">
        <f t="shared" si="154"/>
        <v>-</v>
      </c>
      <c r="G324" s="58">
        <f>G163</f>
        <v>0.45</v>
      </c>
      <c r="I324" s="998"/>
      <c r="J324" s="58">
        <v>15</v>
      </c>
      <c r="K324" s="58">
        <f>J163</f>
        <v>70</v>
      </c>
      <c r="L324" s="58">
        <f>K163</f>
        <v>-0.7</v>
      </c>
      <c r="M324" s="58">
        <f>L163</f>
        <v>-0.8</v>
      </c>
      <c r="N324" s="58" t="str">
        <f>M163</f>
        <v>-</v>
      </c>
      <c r="O324" s="58">
        <f>N163</f>
        <v>5.0000000000000044E-2</v>
      </c>
      <c r="Q324" s="998"/>
      <c r="R324" s="58">
        <v>15</v>
      </c>
      <c r="S324" s="58">
        <f>Q163</f>
        <v>1005</v>
      </c>
      <c r="T324" s="58">
        <f>R163</f>
        <v>4</v>
      </c>
      <c r="U324" s="58">
        <f>S163</f>
        <v>1.1000000000000001</v>
      </c>
      <c r="V324" s="58" t="str">
        <f>T163</f>
        <v>-</v>
      </c>
      <c r="W324" s="329">
        <f>U163</f>
        <v>1.45</v>
      </c>
      <c r="AE324" s="490"/>
    </row>
    <row r="325" spans="1:31" ht="13" hidden="1" x14ac:dyDescent="0.3">
      <c r="A325" s="998"/>
      <c r="B325" s="58">
        <v>16</v>
      </c>
      <c r="C325" s="58">
        <f>C174</f>
        <v>35</v>
      </c>
      <c r="D325" s="58">
        <f t="shared" ref="D325:F325" si="155">D174</f>
        <v>0.1</v>
      </c>
      <c r="E325" s="58" t="str">
        <f t="shared" si="155"/>
        <v>-</v>
      </c>
      <c r="F325" s="58" t="str">
        <f t="shared" si="155"/>
        <v>-</v>
      </c>
      <c r="G325" s="58">
        <f>G174</f>
        <v>0</v>
      </c>
      <c r="I325" s="998"/>
      <c r="J325" s="58">
        <v>16</v>
      </c>
      <c r="K325" s="58">
        <f>J174</f>
        <v>70</v>
      </c>
      <c r="L325" s="58">
        <f>K174</f>
        <v>-1.8</v>
      </c>
      <c r="M325" s="58" t="str">
        <f>L174</f>
        <v>-</v>
      </c>
      <c r="N325" s="58" t="str">
        <f>M174</f>
        <v>-</v>
      </c>
      <c r="O325" s="58">
        <f>N174</f>
        <v>0</v>
      </c>
      <c r="Q325" s="998"/>
      <c r="R325" s="58">
        <v>16</v>
      </c>
      <c r="S325" s="58">
        <f>Q174</f>
        <v>1000</v>
      </c>
      <c r="T325" s="58">
        <f>R174</f>
        <v>-0.4</v>
      </c>
      <c r="U325" s="58" t="str">
        <f>S174</f>
        <v>-</v>
      </c>
      <c r="V325" s="58" t="str">
        <f>T174</f>
        <v>-</v>
      </c>
      <c r="W325" s="329">
        <f>U174</f>
        <v>0</v>
      </c>
      <c r="AE325" s="490"/>
    </row>
    <row r="326" spans="1:31" ht="13" hidden="1" x14ac:dyDescent="0.3">
      <c r="A326" s="998"/>
      <c r="B326" s="58">
        <v>17</v>
      </c>
      <c r="C326" s="58">
        <f>C185</f>
        <v>35</v>
      </c>
      <c r="D326" s="58">
        <f t="shared" ref="D326:F326" si="156">D185</f>
        <v>-0.5</v>
      </c>
      <c r="E326" s="58" t="str">
        <f t="shared" si="156"/>
        <v>-</v>
      </c>
      <c r="F326" s="58" t="str">
        <f t="shared" si="156"/>
        <v>-</v>
      </c>
      <c r="G326" s="58">
        <f>G185</f>
        <v>0</v>
      </c>
      <c r="I326" s="998"/>
      <c r="J326" s="58">
        <v>17</v>
      </c>
      <c r="K326" s="58">
        <f>J185</f>
        <v>70</v>
      </c>
      <c r="L326" s="58">
        <f>K185</f>
        <v>-0.3</v>
      </c>
      <c r="M326" s="58" t="str">
        <f>L185</f>
        <v>-</v>
      </c>
      <c r="N326" s="58" t="str">
        <f>M185</f>
        <v>-</v>
      </c>
      <c r="O326" s="58">
        <f>N185</f>
        <v>0</v>
      </c>
      <c r="Q326" s="998"/>
      <c r="R326" s="58">
        <v>17</v>
      </c>
      <c r="S326" s="58">
        <f>Q185</f>
        <v>1000</v>
      </c>
      <c r="T326" s="58">
        <f>R185</f>
        <v>-0.6</v>
      </c>
      <c r="U326" s="58" t="str">
        <f>S185</f>
        <v>-</v>
      </c>
      <c r="V326" s="58" t="str">
        <f>T185</f>
        <v>-</v>
      </c>
      <c r="W326" s="329">
        <f>U185</f>
        <v>0</v>
      </c>
      <c r="AE326" s="490"/>
    </row>
    <row r="327" spans="1:31" ht="13" hidden="1" x14ac:dyDescent="0.3">
      <c r="A327" s="998"/>
      <c r="B327" s="58">
        <v>18</v>
      </c>
      <c r="C327" s="58">
        <f>C196</f>
        <v>35</v>
      </c>
      <c r="D327" s="58">
        <f t="shared" ref="D327:F327" si="157">D196</f>
        <v>-0.3</v>
      </c>
      <c r="E327" s="58" t="str">
        <f t="shared" si="157"/>
        <v>-</v>
      </c>
      <c r="F327" s="58" t="str">
        <f t="shared" si="157"/>
        <v>-</v>
      </c>
      <c r="G327" s="58">
        <f>G196</f>
        <v>0</v>
      </c>
      <c r="I327" s="998"/>
      <c r="J327" s="58">
        <v>18</v>
      </c>
      <c r="K327" s="58">
        <f>J196</f>
        <v>70</v>
      </c>
      <c r="L327" s="58">
        <f>K196</f>
        <v>-0.3</v>
      </c>
      <c r="M327" s="58" t="str">
        <f>L196</f>
        <v>-</v>
      </c>
      <c r="N327" s="58" t="str">
        <f>M196</f>
        <v>-</v>
      </c>
      <c r="O327" s="58">
        <f>N196</f>
        <v>0</v>
      </c>
      <c r="Q327" s="998"/>
      <c r="R327" s="58">
        <v>18</v>
      </c>
      <c r="S327" s="58">
        <f>Q196</f>
        <v>1000</v>
      </c>
      <c r="T327" s="58">
        <f>R196</f>
        <v>-0.8</v>
      </c>
      <c r="U327" s="58" t="str">
        <f>S196</f>
        <v>-</v>
      </c>
      <c r="V327" s="58" t="str">
        <f>T196</f>
        <v>-</v>
      </c>
      <c r="W327" s="329">
        <f>U196</f>
        <v>0</v>
      </c>
      <c r="AE327" s="490"/>
    </row>
    <row r="328" spans="1:31" ht="13" hidden="1" x14ac:dyDescent="0.3">
      <c r="A328" s="998"/>
      <c r="B328" s="58">
        <v>19</v>
      </c>
      <c r="C328" s="58">
        <f>C207</f>
        <v>35</v>
      </c>
      <c r="D328" s="58">
        <f t="shared" ref="D328:F328" si="158">D207</f>
        <v>-0.1</v>
      </c>
      <c r="E328" s="58" t="str">
        <f t="shared" si="158"/>
        <v>-</v>
      </c>
      <c r="F328" s="58" t="str">
        <f t="shared" si="158"/>
        <v>-</v>
      </c>
      <c r="G328" s="58">
        <f>G207</f>
        <v>0</v>
      </c>
      <c r="I328" s="998"/>
      <c r="J328" s="58">
        <v>19</v>
      </c>
      <c r="K328" s="58">
        <f>J207</f>
        <v>70</v>
      </c>
      <c r="L328" s="58">
        <f>K207</f>
        <v>-0.7</v>
      </c>
      <c r="M328" s="58" t="str">
        <f>L207</f>
        <v>-</v>
      </c>
      <c r="N328" s="58" t="str">
        <f>M207</f>
        <v>-</v>
      </c>
      <c r="O328" s="58">
        <f>N207</f>
        <v>0</v>
      </c>
      <c r="Q328" s="998"/>
      <c r="R328" s="58">
        <v>19</v>
      </c>
      <c r="S328" s="58">
        <f>Q207</f>
        <v>1000</v>
      </c>
      <c r="T328" s="58">
        <f>R207</f>
        <v>2.2000000000000002</v>
      </c>
      <c r="U328" s="58" t="str">
        <f>S207</f>
        <v>-</v>
      </c>
      <c r="V328" s="58" t="str">
        <f>T207</f>
        <v>-</v>
      </c>
      <c r="W328" s="329">
        <f>U207</f>
        <v>0</v>
      </c>
      <c r="AE328" s="490"/>
    </row>
    <row r="329" spans="1:31" ht="13.5" hidden="1" thickBot="1" x14ac:dyDescent="0.35">
      <c r="A329" s="998"/>
      <c r="B329" s="58">
        <v>20</v>
      </c>
      <c r="C329" s="58">
        <f>C218</f>
        <v>34.5</v>
      </c>
      <c r="D329" s="58">
        <f t="shared" ref="D329:F329" si="159">D218</f>
        <v>9.9999999999999995E-7</v>
      </c>
      <c r="E329" s="58" t="str">
        <f t="shared" si="159"/>
        <v>-</v>
      </c>
      <c r="F329" s="58" t="str">
        <f t="shared" si="159"/>
        <v>-</v>
      </c>
      <c r="G329" s="58">
        <f>G218</f>
        <v>0</v>
      </c>
      <c r="I329" s="998"/>
      <c r="J329" s="58">
        <v>20</v>
      </c>
      <c r="K329" s="58">
        <f>J218</f>
        <v>80.8</v>
      </c>
      <c r="L329" s="58">
        <f>K218</f>
        <v>9.9999999999999995E-7</v>
      </c>
      <c r="M329" s="58" t="str">
        <f>L218</f>
        <v>-</v>
      </c>
      <c r="N329" s="58" t="str">
        <f>M218</f>
        <v>-</v>
      </c>
      <c r="O329" s="58">
        <f>N218</f>
        <v>0</v>
      </c>
      <c r="Q329" s="999"/>
      <c r="R329" s="338">
        <v>20</v>
      </c>
      <c r="S329" s="338">
        <f>Q218</f>
        <v>1000</v>
      </c>
      <c r="T329" s="338">
        <f>R218</f>
        <v>9.9999999999999995E-7</v>
      </c>
      <c r="U329" s="338" t="str">
        <f>S218</f>
        <v>-</v>
      </c>
      <c r="V329" s="338" t="str">
        <f>T218</f>
        <v>-</v>
      </c>
      <c r="W329" s="339">
        <f>U218</f>
        <v>0</v>
      </c>
      <c r="AE329" s="576"/>
    </row>
    <row r="330" spans="1:31" ht="13" hidden="1" x14ac:dyDescent="0.3">
      <c r="A330" s="205"/>
      <c r="B330" s="205"/>
      <c r="C330" s="205"/>
      <c r="D330" s="205"/>
      <c r="E330" s="205"/>
      <c r="F330" s="473"/>
      <c r="G330" s="205"/>
      <c r="I330" s="205"/>
      <c r="J330" s="205"/>
      <c r="K330" s="205"/>
      <c r="L330" s="205"/>
      <c r="M330" s="205"/>
      <c r="N330" s="473"/>
      <c r="O330" s="205"/>
      <c r="Q330" s="581"/>
      <c r="R330" s="578"/>
      <c r="S330" s="60"/>
      <c r="T330" s="60"/>
      <c r="U330" s="60"/>
      <c r="W330" s="61"/>
      <c r="AE330" s="490"/>
    </row>
    <row r="331" spans="1:31" ht="13" hidden="1" x14ac:dyDescent="0.3">
      <c r="A331" s="998">
        <v>6</v>
      </c>
      <c r="B331" s="58">
        <v>1</v>
      </c>
      <c r="C331" s="58">
        <f>C10</f>
        <v>37</v>
      </c>
      <c r="D331" s="58">
        <f t="shared" ref="D331:F331" si="160">D10</f>
        <v>-0.2</v>
      </c>
      <c r="E331" s="58">
        <f t="shared" si="160"/>
        <v>-0.6</v>
      </c>
      <c r="F331" s="58" t="str">
        <f t="shared" si="160"/>
        <v>-</v>
      </c>
      <c r="G331" s="58">
        <f>G10</f>
        <v>0.19999999999999998</v>
      </c>
      <c r="I331" s="998">
        <v>6</v>
      </c>
      <c r="J331" s="58">
        <v>1</v>
      </c>
      <c r="K331" s="58">
        <f>J10</f>
        <v>80</v>
      </c>
      <c r="L331" s="58">
        <f>K10</f>
        <v>-3.2</v>
      </c>
      <c r="M331" s="58">
        <f>L10</f>
        <v>0.7</v>
      </c>
      <c r="N331" s="58" t="str">
        <f>M10</f>
        <v>-</v>
      </c>
      <c r="O331" s="58">
        <f>N10</f>
        <v>1.9500000000000002</v>
      </c>
      <c r="Q331" s="997">
        <v>6</v>
      </c>
      <c r="R331" s="340">
        <v>1</v>
      </c>
      <c r="S331" s="340">
        <f>Q10</f>
        <v>1005</v>
      </c>
      <c r="T331" s="340" t="str">
        <f>R10</f>
        <v>-</v>
      </c>
      <c r="U331" s="340" t="str">
        <f>S10</f>
        <v>-</v>
      </c>
      <c r="V331" s="340" t="str">
        <f>T10</f>
        <v>-</v>
      </c>
      <c r="W331" s="341">
        <f>U10</f>
        <v>0</v>
      </c>
      <c r="AE331" s="579"/>
    </row>
    <row r="332" spans="1:31" ht="13" hidden="1" x14ac:dyDescent="0.3">
      <c r="A332" s="998"/>
      <c r="B332" s="58">
        <v>2</v>
      </c>
      <c r="C332" s="58">
        <f>C21</f>
        <v>37</v>
      </c>
      <c r="D332" s="58">
        <f t="shared" ref="D332:F332" si="161">D21</f>
        <v>-0.2</v>
      </c>
      <c r="E332" s="58">
        <f t="shared" si="161"/>
        <v>-0.3</v>
      </c>
      <c r="F332" s="58" t="str">
        <f t="shared" si="161"/>
        <v>-</v>
      </c>
      <c r="G332" s="58">
        <f>G21</f>
        <v>4.9999999999999989E-2</v>
      </c>
      <c r="I332" s="998"/>
      <c r="J332" s="58">
        <v>2</v>
      </c>
      <c r="K332" s="58">
        <f>J21</f>
        <v>80</v>
      </c>
      <c r="L332" s="58">
        <f>K21</f>
        <v>-0.5</v>
      </c>
      <c r="M332" s="58">
        <f>L21</f>
        <v>-0.7</v>
      </c>
      <c r="N332" s="58" t="str">
        <f>M21</f>
        <v>-</v>
      </c>
      <c r="O332" s="58">
        <f>N21</f>
        <v>9.9999999999999978E-2</v>
      </c>
      <c r="Q332" s="998"/>
      <c r="R332" s="58">
        <v>2</v>
      </c>
      <c r="S332" s="58">
        <f>Q21</f>
        <v>1005</v>
      </c>
      <c r="T332" s="58" t="str">
        <f>R21</f>
        <v>-</v>
      </c>
      <c r="U332" s="58" t="str">
        <f>S21</f>
        <v>-</v>
      </c>
      <c r="V332" s="58" t="str">
        <f>T21</f>
        <v>-</v>
      </c>
      <c r="W332" s="329">
        <f>U21</f>
        <v>0</v>
      </c>
      <c r="AE332" s="490"/>
    </row>
    <row r="333" spans="1:31" ht="13" hidden="1" x14ac:dyDescent="0.3">
      <c r="A333" s="998"/>
      <c r="B333" s="58">
        <v>3</v>
      </c>
      <c r="C333" s="58">
        <f>C32</f>
        <v>37</v>
      </c>
      <c r="D333" s="58">
        <f t="shared" ref="D333:F333" si="162">D32</f>
        <v>-0.2</v>
      </c>
      <c r="E333" s="58">
        <f t="shared" si="162"/>
        <v>-0.6</v>
      </c>
      <c r="F333" s="58" t="str">
        <f t="shared" si="162"/>
        <v>-</v>
      </c>
      <c r="G333" s="58">
        <f>G32</f>
        <v>0.19999999999999998</v>
      </c>
      <c r="I333" s="998"/>
      <c r="J333" s="58">
        <v>3</v>
      </c>
      <c r="K333" s="58">
        <f>J32</f>
        <v>80</v>
      </c>
      <c r="L333" s="58">
        <f>K32</f>
        <v>-0.8</v>
      </c>
      <c r="M333" s="58">
        <f>L32</f>
        <v>-2.9</v>
      </c>
      <c r="N333" s="58" t="str">
        <f>M32</f>
        <v>-</v>
      </c>
      <c r="O333" s="58">
        <f>N32</f>
        <v>1.0499999999999998</v>
      </c>
      <c r="Q333" s="998"/>
      <c r="R333" s="58">
        <v>3</v>
      </c>
      <c r="S333" s="58">
        <f>Q32</f>
        <v>1005</v>
      </c>
      <c r="T333" s="58" t="str">
        <f>R32</f>
        <v>-</v>
      </c>
      <c r="U333" s="58" t="str">
        <f>S32</f>
        <v>-</v>
      </c>
      <c r="V333" s="58" t="str">
        <f>T32</f>
        <v>-</v>
      </c>
      <c r="W333" s="329">
        <f>U32</f>
        <v>0</v>
      </c>
      <c r="AE333" s="490"/>
    </row>
    <row r="334" spans="1:31" ht="13" hidden="1" x14ac:dyDescent="0.3">
      <c r="A334" s="998"/>
      <c r="B334" s="58">
        <v>4</v>
      </c>
      <c r="C334" s="58">
        <f>C43</f>
        <v>37</v>
      </c>
      <c r="D334" s="58">
        <f t="shared" ref="D334:F334" si="163">D43</f>
        <v>-0.4</v>
      </c>
      <c r="E334" s="58">
        <f t="shared" si="163"/>
        <v>-0.6</v>
      </c>
      <c r="F334" s="58" t="str">
        <f t="shared" si="163"/>
        <v>-</v>
      </c>
      <c r="G334" s="58">
        <f>G43</f>
        <v>9.9999999999999978E-2</v>
      </c>
      <c r="I334" s="998"/>
      <c r="J334" s="58">
        <v>4</v>
      </c>
      <c r="K334" s="58">
        <f>J43</f>
        <v>80</v>
      </c>
      <c r="L334" s="58">
        <f>K43</f>
        <v>-3.8</v>
      </c>
      <c r="M334" s="58">
        <f>L43</f>
        <v>1.9</v>
      </c>
      <c r="N334" s="58" t="str">
        <f>M43</f>
        <v>-</v>
      </c>
      <c r="O334" s="58">
        <f>N43</f>
        <v>2.8499999999999996</v>
      </c>
      <c r="Q334" s="998"/>
      <c r="R334" s="58">
        <v>4</v>
      </c>
      <c r="S334" s="58">
        <f>Q43</f>
        <v>1005</v>
      </c>
      <c r="T334" s="58" t="str">
        <f>R43</f>
        <v>-</v>
      </c>
      <c r="U334" s="58" t="str">
        <f>S43</f>
        <v>-</v>
      </c>
      <c r="V334" s="58" t="str">
        <f>T43</f>
        <v>-</v>
      </c>
      <c r="W334" s="329">
        <f>U43</f>
        <v>0</v>
      </c>
      <c r="AE334" s="490"/>
    </row>
    <row r="335" spans="1:31" ht="13" hidden="1" x14ac:dyDescent="0.3">
      <c r="A335" s="998"/>
      <c r="B335" s="58">
        <v>5</v>
      </c>
      <c r="C335" s="58">
        <f>C54</f>
        <v>37</v>
      </c>
      <c r="D335" s="58">
        <f t="shared" ref="D335:F335" si="164">D54</f>
        <v>0.7</v>
      </c>
      <c r="E335" s="58">
        <f t="shared" si="164"/>
        <v>9.9999999999999995E-7</v>
      </c>
      <c r="F335" s="58" t="str">
        <f t="shared" si="164"/>
        <v>-</v>
      </c>
      <c r="G335" s="58">
        <f>G54</f>
        <v>0.34999949999999996</v>
      </c>
      <c r="I335" s="998"/>
      <c r="J335" s="58">
        <v>5</v>
      </c>
      <c r="K335" s="58">
        <f>J54</f>
        <v>80</v>
      </c>
      <c r="L335" s="58">
        <f>K54</f>
        <v>-3</v>
      </c>
      <c r="M335" s="58">
        <f>L54</f>
        <v>0.2</v>
      </c>
      <c r="N335" s="58" t="str">
        <f>M54</f>
        <v>-</v>
      </c>
      <c r="O335" s="58">
        <f>N54</f>
        <v>1.6</v>
      </c>
      <c r="Q335" s="998"/>
      <c r="R335" s="58">
        <v>5</v>
      </c>
      <c r="S335" s="58">
        <f>Q54</f>
        <v>1005</v>
      </c>
      <c r="T335" s="58" t="str">
        <f>R54</f>
        <v>-</v>
      </c>
      <c r="U335" s="58" t="str">
        <f>S54</f>
        <v>-</v>
      </c>
      <c r="V335" s="58" t="str">
        <f>T54</f>
        <v>-</v>
      </c>
      <c r="W335" s="329">
        <f>U54</f>
        <v>0</v>
      </c>
      <c r="AE335" s="490"/>
    </row>
    <row r="336" spans="1:31" ht="13" hidden="1" x14ac:dyDescent="0.3">
      <c r="A336" s="998"/>
      <c r="B336" s="58">
        <v>6</v>
      </c>
      <c r="C336" s="58">
        <f>C65</f>
        <v>37</v>
      </c>
      <c r="D336" s="58">
        <f t="shared" ref="D336:F336" si="165">D65</f>
        <v>0.1</v>
      </c>
      <c r="E336" s="58">
        <f t="shared" si="165"/>
        <v>-1.1000000000000001</v>
      </c>
      <c r="F336" s="58" t="str">
        <f t="shared" si="165"/>
        <v>-</v>
      </c>
      <c r="G336" s="58">
        <f>G65</f>
        <v>0.60000000000000009</v>
      </c>
      <c r="I336" s="998"/>
      <c r="J336" s="58">
        <v>6</v>
      </c>
      <c r="K336" s="58">
        <f>J65</f>
        <v>80</v>
      </c>
      <c r="L336" s="58">
        <f>K65</f>
        <v>-6.3</v>
      </c>
      <c r="M336" s="58">
        <f>L65</f>
        <v>0.8</v>
      </c>
      <c r="N336" s="58" t="str">
        <f>M65</f>
        <v>-</v>
      </c>
      <c r="O336" s="58">
        <f>N65</f>
        <v>3.55</v>
      </c>
      <c r="Q336" s="998"/>
      <c r="R336" s="58">
        <v>6</v>
      </c>
      <c r="S336" s="58">
        <f>Q65</f>
        <v>1005</v>
      </c>
      <c r="T336" s="58">
        <f>R65</f>
        <v>0.9</v>
      </c>
      <c r="U336" s="58">
        <f>S65</f>
        <v>-0.3</v>
      </c>
      <c r="V336" s="58" t="str">
        <f>T65</f>
        <v>-</v>
      </c>
      <c r="W336" s="329">
        <f>U65</f>
        <v>0.6</v>
      </c>
      <c r="AE336" s="490"/>
    </row>
    <row r="337" spans="1:31" ht="13" hidden="1" x14ac:dyDescent="0.3">
      <c r="A337" s="998"/>
      <c r="B337" s="58">
        <v>7</v>
      </c>
      <c r="C337" s="58">
        <f>C76</f>
        <v>37</v>
      </c>
      <c r="D337" s="58">
        <f t="shared" ref="D337:F337" si="166">D76</f>
        <v>9.9999999999999995E-7</v>
      </c>
      <c r="E337" s="58">
        <f t="shared" si="166"/>
        <v>-1.4</v>
      </c>
      <c r="F337" s="58" t="str">
        <f t="shared" si="166"/>
        <v>-</v>
      </c>
      <c r="G337" s="58">
        <f>G76</f>
        <v>0.70000049999999991</v>
      </c>
      <c r="I337" s="998"/>
      <c r="J337" s="58">
        <v>7</v>
      </c>
      <c r="K337" s="58">
        <f>J76</f>
        <v>80</v>
      </c>
      <c r="L337" s="58">
        <f>K76</f>
        <v>-2.6</v>
      </c>
      <c r="M337" s="58">
        <f>L76</f>
        <v>1.2</v>
      </c>
      <c r="N337" s="58" t="str">
        <f>M76</f>
        <v>-</v>
      </c>
      <c r="O337" s="58">
        <f>N76</f>
        <v>1.9</v>
      </c>
      <c r="Q337" s="998"/>
      <c r="R337" s="58">
        <v>7</v>
      </c>
      <c r="S337" s="58">
        <f>Q76</f>
        <v>1005</v>
      </c>
      <c r="T337" s="58">
        <f>R76</f>
        <v>-3.8</v>
      </c>
      <c r="U337" s="58">
        <f>S76</f>
        <v>-0.5</v>
      </c>
      <c r="V337" s="58" t="str">
        <f>T76</f>
        <v>-</v>
      </c>
      <c r="W337" s="329">
        <f>U76</f>
        <v>1.65</v>
      </c>
      <c r="AE337" s="490"/>
    </row>
    <row r="338" spans="1:31" ht="13" hidden="1" x14ac:dyDescent="0.3">
      <c r="A338" s="998"/>
      <c r="B338" s="58">
        <v>8</v>
      </c>
      <c r="C338" s="58">
        <f>C87</f>
        <v>37</v>
      </c>
      <c r="D338" s="58">
        <f t="shared" ref="D338:F338" si="167">D87</f>
        <v>-0.1</v>
      </c>
      <c r="E338" s="58">
        <f t="shared" si="167"/>
        <v>-0.5</v>
      </c>
      <c r="F338" s="58" t="str">
        <f t="shared" si="167"/>
        <v>-</v>
      </c>
      <c r="G338" s="58">
        <f>G87</f>
        <v>0.2</v>
      </c>
      <c r="I338" s="998"/>
      <c r="J338" s="58">
        <v>8</v>
      </c>
      <c r="K338" s="58">
        <f>J87</f>
        <v>80</v>
      </c>
      <c r="L338" s="58">
        <f>K87</f>
        <v>-4.5</v>
      </c>
      <c r="M338" s="58">
        <f>L87</f>
        <v>-1.2</v>
      </c>
      <c r="N338" s="58" t="str">
        <f>M87</f>
        <v>-</v>
      </c>
      <c r="O338" s="58">
        <f>N87</f>
        <v>1.65</v>
      </c>
      <c r="Q338" s="998"/>
      <c r="R338" s="58">
        <v>8</v>
      </c>
      <c r="S338" s="58">
        <f>Q87</f>
        <v>1005</v>
      </c>
      <c r="T338" s="58">
        <f>R87</f>
        <v>-3.4</v>
      </c>
      <c r="U338" s="58">
        <f>S87</f>
        <v>0.2</v>
      </c>
      <c r="V338" s="58" t="str">
        <f>T87</f>
        <v>-</v>
      </c>
      <c r="W338" s="329">
        <f>U87</f>
        <v>1.8</v>
      </c>
      <c r="AE338" s="490"/>
    </row>
    <row r="339" spans="1:31" ht="13" hidden="1" x14ac:dyDescent="0.3">
      <c r="A339" s="998"/>
      <c r="B339" s="58">
        <v>9</v>
      </c>
      <c r="C339" s="58">
        <f>C98</f>
        <v>37</v>
      </c>
      <c r="D339" s="58">
        <f t="shared" ref="D339:F339" si="168">D98</f>
        <v>-0.5</v>
      </c>
      <c r="E339" s="58" t="str">
        <f t="shared" si="168"/>
        <v>-</v>
      </c>
      <c r="F339" s="58" t="str">
        <f t="shared" si="168"/>
        <v>-</v>
      </c>
      <c r="G339" s="58">
        <f>G98</f>
        <v>0</v>
      </c>
      <c r="I339" s="998"/>
      <c r="J339" s="58">
        <v>9</v>
      </c>
      <c r="K339" s="58">
        <f>J98</f>
        <v>80</v>
      </c>
      <c r="L339" s="58">
        <f>K98</f>
        <v>-0.5</v>
      </c>
      <c r="M339" s="58" t="str">
        <f>L98</f>
        <v>-</v>
      </c>
      <c r="N339" s="58" t="str">
        <f>M98</f>
        <v>-</v>
      </c>
      <c r="O339" s="58">
        <f>N98</f>
        <v>0</v>
      </c>
      <c r="Q339" s="998"/>
      <c r="R339" s="58">
        <v>9</v>
      </c>
      <c r="S339" s="58">
        <f>Q98</f>
        <v>1005</v>
      </c>
      <c r="T339" s="58">
        <f>R98</f>
        <v>0.2</v>
      </c>
      <c r="U339" s="58" t="str">
        <f>S98</f>
        <v>-</v>
      </c>
      <c r="V339" s="58" t="str">
        <f>T98</f>
        <v>-</v>
      </c>
      <c r="W339" s="329">
        <f>U98</f>
        <v>0</v>
      </c>
      <c r="AE339" s="490"/>
    </row>
    <row r="340" spans="1:31" ht="13" hidden="1" x14ac:dyDescent="0.3">
      <c r="A340" s="998"/>
      <c r="B340" s="58">
        <v>10</v>
      </c>
      <c r="C340" s="58">
        <f>C109</f>
        <v>37</v>
      </c>
      <c r="D340" s="58">
        <f t="shared" ref="D340:F340" si="169">D109</f>
        <v>0.4</v>
      </c>
      <c r="E340" s="58">
        <f t="shared" si="169"/>
        <v>0.2</v>
      </c>
      <c r="F340" s="58">
        <f t="shared" si="169"/>
        <v>0.4</v>
      </c>
      <c r="G340" s="58">
        <f>G109</f>
        <v>0.1</v>
      </c>
      <c r="I340" s="998"/>
      <c r="J340" s="58">
        <v>10</v>
      </c>
      <c r="K340" s="58">
        <f>J109</f>
        <v>80</v>
      </c>
      <c r="L340" s="58">
        <f>K109</f>
        <v>0.7</v>
      </c>
      <c r="M340" s="58">
        <f>L109</f>
        <v>2.2000000000000002</v>
      </c>
      <c r="N340" s="58">
        <f>M109</f>
        <v>-4.7</v>
      </c>
      <c r="O340" s="58">
        <f>N109</f>
        <v>3.45</v>
      </c>
      <c r="Q340" s="998"/>
      <c r="R340" s="58">
        <v>10</v>
      </c>
      <c r="S340" s="58">
        <f>Q109</f>
        <v>1005</v>
      </c>
      <c r="T340" s="58" t="str">
        <f>R109</f>
        <v>-</v>
      </c>
      <c r="U340" s="58" t="str">
        <f>S109</f>
        <v>-</v>
      </c>
      <c r="V340" s="58" t="str">
        <f>T109</f>
        <v>-</v>
      </c>
      <c r="W340" s="329">
        <f>U109</f>
        <v>0</v>
      </c>
      <c r="AE340" s="490"/>
    </row>
    <row r="341" spans="1:31" ht="13" hidden="1" x14ac:dyDescent="0.3">
      <c r="A341" s="998"/>
      <c r="B341" s="58">
        <v>11</v>
      </c>
      <c r="C341" s="58">
        <f>C120</f>
        <v>37</v>
      </c>
      <c r="D341" s="58">
        <f t="shared" ref="D341:F341" si="170">D120</f>
        <v>-0.3</v>
      </c>
      <c r="E341" s="58">
        <f t="shared" si="170"/>
        <v>0.5</v>
      </c>
      <c r="F341" s="58">
        <f t="shared" si="170"/>
        <v>0.5</v>
      </c>
      <c r="G341" s="58">
        <f>G120</f>
        <v>0.4</v>
      </c>
      <c r="I341" s="998"/>
      <c r="J341" s="58">
        <v>11</v>
      </c>
      <c r="K341" s="58">
        <f>J120</f>
        <v>80</v>
      </c>
      <c r="L341" s="58">
        <f>K120</f>
        <v>-0.2</v>
      </c>
      <c r="M341" s="58">
        <f>L120</f>
        <v>-1.4</v>
      </c>
      <c r="N341" s="58">
        <f>M120</f>
        <v>2.6</v>
      </c>
      <c r="O341" s="58">
        <f>N120</f>
        <v>2</v>
      </c>
      <c r="Q341" s="998"/>
      <c r="R341" s="58">
        <v>11</v>
      </c>
      <c r="S341" s="58">
        <f>Q120</f>
        <v>1005</v>
      </c>
      <c r="T341" s="58" t="str">
        <f>R120</f>
        <v>-</v>
      </c>
      <c r="U341" s="58" t="str">
        <f>S120</f>
        <v>-</v>
      </c>
      <c r="V341" s="58" t="str">
        <f>T120</f>
        <v>-</v>
      </c>
      <c r="W341" s="329">
        <f>U120</f>
        <v>0</v>
      </c>
      <c r="AE341" s="490"/>
    </row>
    <row r="342" spans="1:31" ht="13" hidden="1" x14ac:dyDescent="0.3">
      <c r="A342" s="998"/>
      <c r="B342" s="58">
        <v>12</v>
      </c>
      <c r="C342" s="58">
        <f>C131</f>
        <v>37</v>
      </c>
      <c r="D342" s="58">
        <f t="shared" ref="D342:F342" si="171">D131</f>
        <v>-0.3</v>
      </c>
      <c r="E342" s="58" t="str">
        <f t="shared" si="171"/>
        <v>-</v>
      </c>
      <c r="F342" s="58" t="str">
        <f t="shared" si="171"/>
        <v>-</v>
      </c>
      <c r="G342" s="58">
        <f>G131</f>
        <v>0</v>
      </c>
      <c r="I342" s="998"/>
      <c r="J342" s="58">
        <v>12</v>
      </c>
      <c r="K342" s="58">
        <f>J131</f>
        <v>80</v>
      </c>
      <c r="L342" s="58">
        <f>K131</f>
        <v>-0.5</v>
      </c>
      <c r="M342" s="58" t="str">
        <f>L131</f>
        <v>-</v>
      </c>
      <c r="N342" s="58" t="str">
        <f>M131</f>
        <v>-</v>
      </c>
      <c r="O342" s="58">
        <f>N131</f>
        <v>0</v>
      </c>
      <c r="Q342" s="998"/>
      <c r="R342" s="58">
        <v>12</v>
      </c>
      <c r="S342" s="58">
        <f>Q131</f>
        <v>1005</v>
      </c>
      <c r="T342" s="58">
        <f>R131</f>
        <v>-0.8</v>
      </c>
      <c r="U342" s="58" t="str">
        <f>S131</f>
        <v>-</v>
      </c>
      <c r="V342" s="58" t="str">
        <f>T131</f>
        <v>-</v>
      </c>
      <c r="W342" s="329">
        <f>U131</f>
        <v>0</v>
      </c>
      <c r="AE342" s="490"/>
    </row>
    <row r="343" spans="1:31" ht="13" hidden="1" x14ac:dyDescent="0.3">
      <c r="A343" s="998"/>
      <c r="B343" s="58">
        <v>13</v>
      </c>
      <c r="C343" s="58">
        <f>C142</f>
        <v>37</v>
      </c>
      <c r="D343" s="58">
        <f t="shared" ref="D343:F343" si="172">D142</f>
        <v>-0.2</v>
      </c>
      <c r="E343" s="58">
        <f t="shared" si="172"/>
        <v>0.4</v>
      </c>
      <c r="F343" s="58" t="str">
        <f t="shared" si="172"/>
        <v>-</v>
      </c>
      <c r="G343" s="58">
        <f>G142</f>
        <v>0.30000000000000004</v>
      </c>
      <c r="I343" s="998"/>
      <c r="J343" s="58">
        <v>13</v>
      </c>
      <c r="K343" s="58">
        <f>J142</f>
        <v>80</v>
      </c>
      <c r="L343" s="58">
        <f>K142</f>
        <v>-1.2</v>
      </c>
      <c r="M343" s="58">
        <f>L142</f>
        <v>-2.5</v>
      </c>
      <c r="N343" s="58" t="str">
        <f>M142</f>
        <v>-</v>
      </c>
      <c r="O343" s="58">
        <f>N142</f>
        <v>0.65</v>
      </c>
      <c r="Q343" s="998"/>
      <c r="R343" s="58">
        <v>13</v>
      </c>
      <c r="S343" s="58">
        <f>Q142</f>
        <v>1010</v>
      </c>
      <c r="T343" s="58">
        <f>R142</f>
        <v>3.5</v>
      </c>
      <c r="U343" s="58">
        <f>S142</f>
        <v>1.1000000000000001</v>
      </c>
      <c r="V343" s="58" t="str">
        <f>T142</f>
        <v>-</v>
      </c>
      <c r="W343" s="329">
        <f>U142</f>
        <v>1.2</v>
      </c>
      <c r="AE343" s="490"/>
    </row>
    <row r="344" spans="1:31" ht="13" hidden="1" x14ac:dyDescent="0.3">
      <c r="A344" s="998"/>
      <c r="B344" s="58">
        <v>14</v>
      </c>
      <c r="C344" s="58">
        <f>C153</f>
        <v>37</v>
      </c>
      <c r="D344" s="58">
        <f t="shared" ref="D344:F344" si="173">D153</f>
        <v>-0.7</v>
      </c>
      <c r="E344" s="58">
        <f t="shared" si="173"/>
        <v>-0.8</v>
      </c>
      <c r="F344" s="58" t="str">
        <f t="shared" si="173"/>
        <v>-</v>
      </c>
      <c r="G344" s="58">
        <f>G153</f>
        <v>5.0000000000000044E-2</v>
      </c>
      <c r="I344" s="998"/>
      <c r="J344" s="58">
        <v>14</v>
      </c>
      <c r="K344" s="58">
        <f>J153</f>
        <v>80</v>
      </c>
      <c r="L344" s="58">
        <f>K153</f>
        <v>1.1000000000000001</v>
      </c>
      <c r="M344" s="58">
        <f>L153</f>
        <v>-0.9</v>
      </c>
      <c r="N344" s="58" t="str">
        <f>M153</f>
        <v>-</v>
      </c>
      <c r="O344" s="58">
        <f>N153</f>
        <v>1</v>
      </c>
      <c r="Q344" s="998"/>
      <c r="R344" s="58">
        <v>14</v>
      </c>
      <c r="S344" s="58">
        <f>Q153</f>
        <v>1010</v>
      </c>
      <c r="T344" s="58">
        <f>R153</f>
        <v>3.7</v>
      </c>
      <c r="U344" s="58">
        <f>S153</f>
        <v>1.1000000000000001</v>
      </c>
      <c r="V344" s="58" t="str">
        <f>T153</f>
        <v>-</v>
      </c>
      <c r="W344" s="329">
        <f>U153</f>
        <v>1.3</v>
      </c>
      <c r="AE344" s="490"/>
    </row>
    <row r="345" spans="1:31" ht="13" hidden="1" x14ac:dyDescent="0.3">
      <c r="A345" s="998"/>
      <c r="B345" s="58">
        <v>15</v>
      </c>
      <c r="C345" s="58">
        <f>C164</f>
        <v>37</v>
      </c>
      <c r="D345" s="58">
        <f t="shared" ref="D345:F345" si="174">D164</f>
        <v>1</v>
      </c>
      <c r="E345" s="58">
        <f t="shared" si="174"/>
        <v>-0.1</v>
      </c>
      <c r="F345" s="58" t="str">
        <f t="shared" si="174"/>
        <v>-</v>
      </c>
      <c r="G345" s="58">
        <f>G164</f>
        <v>0.55000000000000004</v>
      </c>
      <c r="I345" s="998"/>
      <c r="J345" s="58">
        <v>15</v>
      </c>
      <c r="K345" s="58">
        <f>J164</f>
        <v>80</v>
      </c>
      <c r="L345" s="58">
        <f>K164</f>
        <v>-0.4</v>
      </c>
      <c r="M345" s="58">
        <f>L164</f>
        <v>-1.3</v>
      </c>
      <c r="N345" s="58" t="str">
        <f>M164</f>
        <v>-</v>
      </c>
      <c r="O345" s="58">
        <f>N164</f>
        <v>0.45</v>
      </c>
      <c r="Q345" s="998"/>
      <c r="R345" s="58">
        <v>15</v>
      </c>
      <c r="S345" s="58">
        <f>Q164</f>
        <v>1010</v>
      </c>
      <c r="T345" s="58">
        <f>R164</f>
        <v>3.9</v>
      </c>
      <c r="U345" s="58">
        <f>S164</f>
        <v>1.1000000000000001</v>
      </c>
      <c r="V345" s="58" t="str">
        <f>T164</f>
        <v>-</v>
      </c>
      <c r="W345" s="329">
        <f>U164</f>
        <v>1.4</v>
      </c>
      <c r="AE345" s="490"/>
    </row>
    <row r="346" spans="1:31" ht="13" hidden="1" x14ac:dyDescent="0.3">
      <c r="A346" s="998"/>
      <c r="B346" s="58">
        <v>16</v>
      </c>
      <c r="C346" s="58">
        <f>C175</f>
        <v>37</v>
      </c>
      <c r="D346" s="58">
        <f t="shared" ref="D346:F346" si="175">D175</f>
        <v>9.9999999999999995E-7</v>
      </c>
      <c r="E346" s="58" t="str">
        <f t="shared" si="175"/>
        <v>-</v>
      </c>
      <c r="F346" s="58" t="str">
        <f t="shared" si="175"/>
        <v>-</v>
      </c>
      <c r="G346" s="58">
        <f>G175</f>
        <v>0</v>
      </c>
      <c r="I346" s="998"/>
      <c r="J346" s="58">
        <v>16</v>
      </c>
      <c r="K346" s="58">
        <f>J175</f>
        <v>80</v>
      </c>
      <c r="L346" s="58">
        <f>K175</f>
        <v>-2.2999999999999998</v>
      </c>
      <c r="M346" s="58" t="str">
        <f>L175</f>
        <v>-</v>
      </c>
      <c r="N346" s="58" t="str">
        <f>M175</f>
        <v>-</v>
      </c>
      <c r="O346" s="58">
        <f>N175</f>
        <v>0</v>
      </c>
      <c r="Q346" s="998"/>
      <c r="R346" s="58">
        <v>16</v>
      </c>
      <c r="S346" s="58">
        <f>Q175</f>
        <v>1005</v>
      </c>
      <c r="T346" s="58">
        <f>R175</f>
        <v>-0.4</v>
      </c>
      <c r="U346" s="58" t="str">
        <f>S175</f>
        <v>-</v>
      </c>
      <c r="V346" s="58" t="str">
        <f>T175</f>
        <v>-</v>
      </c>
      <c r="W346" s="329">
        <f>U175</f>
        <v>0</v>
      </c>
      <c r="AE346" s="490"/>
    </row>
    <row r="347" spans="1:31" ht="13" hidden="1" x14ac:dyDescent="0.3">
      <c r="A347" s="998"/>
      <c r="B347" s="58">
        <v>17</v>
      </c>
      <c r="C347" s="58">
        <f>C186</f>
        <v>37</v>
      </c>
      <c r="D347" s="58">
        <f t="shared" ref="D347:F347" si="176">D186</f>
        <v>-0.6</v>
      </c>
      <c r="E347" s="58" t="str">
        <f t="shared" si="176"/>
        <v>-</v>
      </c>
      <c r="F347" s="58" t="str">
        <f t="shared" si="176"/>
        <v>-</v>
      </c>
      <c r="G347" s="58">
        <f>G186</f>
        <v>0</v>
      </c>
      <c r="I347" s="998"/>
      <c r="J347" s="58">
        <v>17</v>
      </c>
      <c r="K347" s="58">
        <f>J186</f>
        <v>80</v>
      </c>
      <c r="L347" s="58">
        <f>K186</f>
        <v>-0.8</v>
      </c>
      <c r="M347" s="58" t="str">
        <f>L186</f>
        <v>-</v>
      </c>
      <c r="N347" s="58" t="str">
        <f>M186</f>
        <v>-</v>
      </c>
      <c r="O347" s="58">
        <f>N186</f>
        <v>0</v>
      </c>
      <c r="Q347" s="998"/>
      <c r="R347" s="58">
        <v>17</v>
      </c>
      <c r="S347" s="58">
        <f>Q186</f>
        <v>1005</v>
      </c>
      <c r="T347" s="58">
        <f>R186</f>
        <v>-0.6</v>
      </c>
      <c r="U347" s="58" t="str">
        <f>S186</f>
        <v>-</v>
      </c>
      <c r="V347" s="58" t="str">
        <f>T186</f>
        <v>-</v>
      </c>
      <c r="W347" s="329">
        <f>U186</f>
        <v>0</v>
      </c>
      <c r="AE347" s="490"/>
    </row>
    <row r="348" spans="1:31" ht="13" hidden="1" x14ac:dyDescent="0.3">
      <c r="A348" s="998"/>
      <c r="B348" s="58">
        <v>18</v>
      </c>
      <c r="C348" s="58">
        <f>C197</f>
        <v>37</v>
      </c>
      <c r="D348" s="58">
        <f t="shared" ref="D348:F348" si="177">D197</f>
        <v>-0.3</v>
      </c>
      <c r="E348" s="58" t="str">
        <f t="shared" si="177"/>
        <v>-</v>
      </c>
      <c r="F348" s="58" t="str">
        <f t="shared" si="177"/>
        <v>-</v>
      </c>
      <c r="G348" s="58">
        <f>G197</f>
        <v>0</v>
      </c>
      <c r="I348" s="998"/>
      <c r="J348" s="58">
        <v>18</v>
      </c>
      <c r="K348" s="58">
        <f>J197</f>
        <v>80</v>
      </c>
      <c r="L348" s="58">
        <f>K197</f>
        <v>-0.5</v>
      </c>
      <c r="M348" s="58" t="str">
        <f>L197</f>
        <v>-</v>
      </c>
      <c r="N348" s="58" t="str">
        <f>M197</f>
        <v>-</v>
      </c>
      <c r="O348" s="58">
        <f>N197</f>
        <v>0</v>
      </c>
      <c r="Q348" s="998"/>
      <c r="R348" s="58">
        <v>18</v>
      </c>
      <c r="S348" s="58">
        <f>Q197</f>
        <v>1005</v>
      </c>
      <c r="T348" s="58">
        <f>R197</f>
        <v>-0.7</v>
      </c>
      <c r="U348" s="58" t="str">
        <f>S197</f>
        <v>-</v>
      </c>
      <c r="V348" s="58" t="str">
        <f>T197</f>
        <v>-</v>
      </c>
      <c r="W348" s="329">
        <f>U197</f>
        <v>0</v>
      </c>
      <c r="AE348" s="490"/>
    </row>
    <row r="349" spans="1:31" ht="13" hidden="1" x14ac:dyDescent="0.3">
      <c r="A349" s="998"/>
      <c r="B349" s="58">
        <v>19</v>
      </c>
      <c r="C349" s="58">
        <f>C208</f>
        <v>37</v>
      </c>
      <c r="D349" s="58">
        <f t="shared" ref="D349:F349" si="178">D208</f>
        <v>9.9999999999999995E-7</v>
      </c>
      <c r="E349" s="58" t="str">
        <f t="shared" si="178"/>
        <v>-</v>
      </c>
      <c r="F349" s="58" t="str">
        <f t="shared" si="178"/>
        <v>-</v>
      </c>
      <c r="G349" s="58">
        <f>G208</f>
        <v>0</v>
      </c>
      <c r="I349" s="998"/>
      <c r="J349" s="58">
        <v>19</v>
      </c>
      <c r="K349" s="58">
        <f>J208</f>
        <v>80</v>
      </c>
      <c r="L349" s="58">
        <f>K208</f>
        <v>-0.9</v>
      </c>
      <c r="M349" s="58" t="str">
        <f>L208</f>
        <v>-</v>
      </c>
      <c r="N349" s="58" t="str">
        <f>M208</f>
        <v>-</v>
      </c>
      <c r="O349" s="58">
        <f>N208</f>
        <v>0</v>
      </c>
      <c r="Q349" s="998"/>
      <c r="R349" s="58">
        <v>19</v>
      </c>
      <c r="S349" s="58">
        <f>Q208</f>
        <v>1005</v>
      </c>
      <c r="T349" s="58">
        <f>R208</f>
        <v>2.2000000000000002</v>
      </c>
      <c r="U349" s="58" t="str">
        <f>S208</f>
        <v>-</v>
      </c>
      <c r="V349" s="58" t="str">
        <f>T208</f>
        <v>-</v>
      </c>
      <c r="W349" s="329">
        <f>U208</f>
        <v>0</v>
      </c>
      <c r="AE349" s="490"/>
    </row>
    <row r="350" spans="1:31" ht="13.5" hidden="1" thickBot="1" x14ac:dyDescent="0.35">
      <c r="A350" s="998"/>
      <c r="B350" s="58">
        <v>20</v>
      </c>
      <c r="C350" s="58">
        <f>C219</f>
        <v>39.5</v>
      </c>
      <c r="D350" s="58">
        <f t="shared" ref="D350:F350" si="179">D219</f>
        <v>9.9999999999999995E-7</v>
      </c>
      <c r="E350" s="58" t="str">
        <f t="shared" si="179"/>
        <v>-</v>
      </c>
      <c r="F350" s="58" t="str">
        <f t="shared" si="179"/>
        <v>-</v>
      </c>
      <c r="G350" s="58">
        <f>G219</f>
        <v>0</v>
      </c>
      <c r="I350" s="998"/>
      <c r="J350" s="58">
        <v>20</v>
      </c>
      <c r="K350" s="58">
        <f>J219</f>
        <v>88.7</v>
      </c>
      <c r="L350" s="58">
        <f>K219</f>
        <v>9.9999999999999995E-7</v>
      </c>
      <c r="M350" s="58" t="str">
        <f>L219</f>
        <v>-</v>
      </c>
      <c r="N350" s="58" t="str">
        <f>M219</f>
        <v>-</v>
      </c>
      <c r="O350" s="58">
        <f>N219</f>
        <v>0</v>
      </c>
      <c r="Q350" s="999"/>
      <c r="R350" s="338">
        <v>20</v>
      </c>
      <c r="S350" s="338">
        <f>Q219</f>
        <v>1005</v>
      </c>
      <c r="T350" s="338">
        <f>R219</f>
        <v>9.9999999999999995E-7</v>
      </c>
      <c r="U350" s="338" t="str">
        <f>S219</f>
        <v>-</v>
      </c>
      <c r="V350" s="338" t="str">
        <f>T219</f>
        <v>-</v>
      </c>
      <c r="W350" s="339">
        <f>U219</f>
        <v>0</v>
      </c>
      <c r="AE350" s="576"/>
    </row>
    <row r="351" spans="1:31" ht="13" hidden="1" x14ac:dyDescent="0.3">
      <c r="A351" s="205"/>
      <c r="B351" s="205"/>
      <c r="C351" s="205"/>
      <c r="D351" s="205"/>
      <c r="E351" s="205"/>
      <c r="F351" s="473"/>
      <c r="G351" s="205"/>
      <c r="I351" s="205"/>
      <c r="J351" s="205"/>
      <c r="K351" s="205"/>
      <c r="L351" s="205"/>
      <c r="M351" s="205"/>
      <c r="N351" s="473"/>
      <c r="O351" s="205"/>
      <c r="Q351" s="583"/>
      <c r="R351" s="578"/>
      <c r="S351" s="60"/>
      <c r="T351" s="60"/>
      <c r="U351" s="60"/>
      <c r="W351" s="61"/>
      <c r="AE351" s="490"/>
    </row>
    <row r="352" spans="1:31" ht="13" hidden="1" x14ac:dyDescent="0.3">
      <c r="A352" s="998">
        <v>7</v>
      </c>
      <c r="B352" s="58">
        <v>1</v>
      </c>
      <c r="C352" s="58">
        <f>C11</f>
        <v>40</v>
      </c>
      <c r="D352" s="58">
        <f t="shared" ref="D352:F352" si="180">D11</f>
        <v>-0.3</v>
      </c>
      <c r="E352" s="58">
        <f t="shared" si="180"/>
        <v>-0.8</v>
      </c>
      <c r="F352" s="58" t="str">
        <f t="shared" si="180"/>
        <v>-</v>
      </c>
      <c r="G352" s="58">
        <f>G11</f>
        <v>0.25</v>
      </c>
      <c r="I352" s="998">
        <v>7</v>
      </c>
      <c r="J352" s="58">
        <v>1</v>
      </c>
      <c r="K352" s="58">
        <f>J11</f>
        <v>90</v>
      </c>
      <c r="L352" s="58">
        <f>K11</f>
        <v>-1.6</v>
      </c>
      <c r="M352" s="58">
        <f>L11</f>
        <v>4.5</v>
      </c>
      <c r="N352" s="58" t="str">
        <f>M11</f>
        <v>-</v>
      </c>
      <c r="O352" s="58">
        <f>N11</f>
        <v>3.05</v>
      </c>
      <c r="Q352" s="1000">
        <v>7</v>
      </c>
      <c r="R352" s="340">
        <v>1</v>
      </c>
      <c r="S352" s="340">
        <f>Q11</f>
        <v>1020</v>
      </c>
      <c r="T352" s="340" t="str">
        <f>R11</f>
        <v>-</v>
      </c>
      <c r="U352" s="340" t="str">
        <f>S11</f>
        <v>-</v>
      </c>
      <c r="V352" s="340" t="str">
        <f>T11</f>
        <v>-</v>
      </c>
      <c r="W352" s="341">
        <f>U11</f>
        <v>0</v>
      </c>
      <c r="AE352" s="579"/>
    </row>
    <row r="353" spans="1:31" ht="13" hidden="1" x14ac:dyDescent="0.3">
      <c r="A353" s="998"/>
      <c r="B353" s="58">
        <v>2</v>
      </c>
      <c r="C353" s="58">
        <f>C22</f>
        <v>40</v>
      </c>
      <c r="D353" s="58">
        <f t="shared" ref="D353:F353" si="181">D22</f>
        <v>-0.1</v>
      </c>
      <c r="E353" s="58">
        <f t="shared" si="181"/>
        <v>-0.3</v>
      </c>
      <c r="F353" s="58" t="str">
        <f t="shared" si="181"/>
        <v>-</v>
      </c>
      <c r="G353" s="58">
        <f>G22</f>
        <v>9.9999999999999992E-2</v>
      </c>
      <c r="I353" s="998"/>
      <c r="J353" s="58">
        <v>2</v>
      </c>
      <c r="K353" s="58">
        <f>J22</f>
        <v>90</v>
      </c>
      <c r="L353" s="58">
        <f>K22</f>
        <v>1.7</v>
      </c>
      <c r="M353" s="58">
        <f>L22</f>
        <v>-0.3</v>
      </c>
      <c r="N353" s="58" t="str">
        <f>M22</f>
        <v>-</v>
      </c>
      <c r="O353" s="58">
        <f>N22</f>
        <v>1</v>
      </c>
      <c r="Q353" s="1001"/>
      <c r="R353" s="58">
        <v>2</v>
      </c>
      <c r="S353" s="58">
        <f>Q22</f>
        <v>1020</v>
      </c>
      <c r="T353" s="58" t="str">
        <f>R22</f>
        <v>-</v>
      </c>
      <c r="U353" s="58" t="str">
        <f>S22</f>
        <v>-</v>
      </c>
      <c r="V353" s="58" t="str">
        <f>T22</f>
        <v>-</v>
      </c>
      <c r="W353" s="329">
        <f>U22</f>
        <v>0</v>
      </c>
      <c r="AE353" s="490"/>
    </row>
    <row r="354" spans="1:31" ht="13" hidden="1" x14ac:dyDescent="0.3">
      <c r="A354" s="998"/>
      <c r="B354" s="58">
        <v>3</v>
      </c>
      <c r="C354" s="58">
        <f>C33</f>
        <v>40</v>
      </c>
      <c r="D354" s="58">
        <f t="shared" ref="D354:F354" si="182">D33</f>
        <v>0.2</v>
      </c>
      <c r="E354" s="58">
        <f t="shared" si="182"/>
        <v>-0.7</v>
      </c>
      <c r="F354" s="58" t="str">
        <f t="shared" si="182"/>
        <v>-</v>
      </c>
      <c r="G354" s="58">
        <f>G33</f>
        <v>0.44999999999999996</v>
      </c>
      <c r="I354" s="998"/>
      <c r="J354" s="58">
        <v>3</v>
      </c>
      <c r="K354" s="58">
        <f>J33</f>
        <v>90</v>
      </c>
      <c r="L354" s="58">
        <f>K33</f>
        <v>0.3</v>
      </c>
      <c r="M354" s="58">
        <f>L33</f>
        <v>-2</v>
      </c>
      <c r="N354" s="58" t="str">
        <f>M33</f>
        <v>-</v>
      </c>
      <c r="O354" s="58">
        <f>N33</f>
        <v>1.1499999999999999</v>
      </c>
      <c r="Q354" s="1001"/>
      <c r="R354" s="58">
        <v>3</v>
      </c>
      <c r="S354" s="58">
        <f>Q33</f>
        <v>1020</v>
      </c>
      <c r="T354" s="58" t="str">
        <f>R33</f>
        <v>-</v>
      </c>
      <c r="U354" s="58" t="str">
        <f>S33</f>
        <v>-</v>
      </c>
      <c r="V354" s="58" t="str">
        <f>T33</f>
        <v>-</v>
      </c>
      <c r="W354" s="329">
        <f>U33</f>
        <v>0</v>
      </c>
      <c r="AE354" s="490"/>
    </row>
    <row r="355" spans="1:31" ht="13" hidden="1" x14ac:dyDescent="0.3">
      <c r="A355" s="998"/>
      <c r="B355" s="58">
        <v>4</v>
      </c>
      <c r="C355" s="58">
        <f>C44</f>
        <v>40</v>
      </c>
      <c r="D355" s="58">
        <f t="shared" ref="D355:F355" si="183">D44</f>
        <v>-0.5</v>
      </c>
      <c r="E355" s="58">
        <f t="shared" si="183"/>
        <v>-0.6</v>
      </c>
      <c r="F355" s="58" t="str">
        <f t="shared" si="183"/>
        <v>-</v>
      </c>
      <c r="G355" s="58">
        <f>G44</f>
        <v>4.9999999999999989E-2</v>
      </c>
      <c r="I355" s="998"/>
      <c r="J355" s="58">
        <v>4</v>
      </c>
      <c r="K355" s="58">
        <f>J44</f>
        <v>90</v>
      </c>
      <c r="L355" s="58">
        <f>K44</f>
        <v>-3.5</v>
      </c>
      <c r="M355" s="58">
        <f>L44</f>
        <v>3.3</v>
      </c>
      <c r="N355" s="58" t="str">
        <f>M44</f>
        <v>-</v>
      </c>
      <c r="O355" s="58">
        <f>N44</f>
        <v>3.4</v>
      </c>
      <c r="Q355" s="1001"/>
      <c r="R355" s="58">
        <v>4</v>
      </c>
      <c r="S355" s="58">
        <f>Q44</f>
        <v>1020</v>
      </c>
      <c r="T355" s="58" t="str">
        <f>R44</f>
        <v>-</v>
      </c>
      <c r="U355" s="58" t="str">
        <f>S44</f>
        <v>-</v>
      </c>
      <c r="V355" s="58" t="str">
        <f>T44</f>
        <v>-</v>
      </c>
      <c r="W355" s="329">
        <f>U44</f>
        <v>0</v>
      </c>
      <c r="AE355" s="490"/>
    </row>
    <row r="356" spans="1:31" ht="13" hidden="1" x14ac:dyDescent="0.3">
      <c r="A356" s="998"/>
      <c r="B356" s="58">
        <v>5</v>
      </c>
      <c r="C356" s="58">
        <f>C55</f>
        <v>40</v>
      </c>
      <c r="D356" s="58">
        <f t="shared" ref="D356:F356" si="184">D55</f>
        <v>0.7</v>
      </c>
      <c r="E356" s="58">
        <f t="shared" si="184"/>
        <v>-0.1</v>
      </c>
      <c r="F356" s="58" t="str">
        <f t="shared" si="184"/>
        <v>-</v>
      </c>
      <c r="G356" s="58">
        <f>G55</f>
        <v>0.39999999999999997</v>
      </c>
      <c r="I356" s="998"/>
      <c r="J356" s="58">
        <v>5</v>
      </c>
      <c r="K356" s="58">
        <f>J55</f>
        <v>90</v>
      </c>
      <c r="L356" s="58">
        <f>K55</f>
        <v>-1.8</v>
      </c>
      <c r="M356" s="58">
        <f>L55</f>
        <v>2.7</v>
      </c>
      <c r="N356" s="58" t="str">
        <f>M55</f>
        <v>-</v>
      </c>
      <c r="O356" s="58">
        <f>N55</f>
        <v>2.25</v>
      </c>
      <c r="Q356" s="1001"/>
      <c r="R356" s="58">
        <v>5</v>
      </c>
      <c r="S356" s="58">
        <f>Q55</f>
        <v>1020</v>
      </c>
      <c r="T356" s="58" t="str">
        <f>R55</f>
        <v>-</v>
      </c>
      <c r="U356" s="58" t="str">
        <f>S55</f>
        <v>-</v>
      </c>
      <c r="V356" s="58" t="str">
        <f>T55</f>
        <v>-</v>
      </c>
      <c r="W356" s="329">
        <f>U55</f>
        <v>0</v>
      </c>
      <c r="AE356" s="490"/>
    </row>
    <row r="357" spans="1:31" ht="13" hidden="1" x14ac:dyDescent="0.3">
      <c r="A357" s="998"/>
      <c r="B357" s="58">
        <v>6</v>
      </c>
      <c r="C357" s="58">
        <f>C66</f>
        <v>40</v>
      </c>
      <c r="D357" s="58">
        <f t="shared" ref="D357:F357" si="185">D66</f>
        <v>0.1</v>
      </c>
      <c r="E357" s="58">
        <f t="shared" si="185"/>
        <v>-1.4</v>
      </c>
      <c r="F357" s="58" t="str">
        <f t="shared" si="185"/>
        <v>-</v>
      </c>
      <c r="G357" s="58">
        <f>G66</f>
        <v>0.75</v>
      </c>
      <c r="I357" s="998"/>
      <c r="J357" s="58">
        <v>6</v>
      </c>
      <c r="K357" s="58">
        <f>J66</f>
        <v>90</v>
      </c>
      <c r="L357" s="58">
        <f>K66</f>
        <v>-5.2</v>
      </c>
      <c r="M357" s="58">
        <f>L66</f>
        <v>0.7</v>
      </c>
      <c r="N357" s="58" t="str">
        <f>M66</f>
        <v>-</v>
      </c>
      <c r="O357" s="58">
        <f>N66</f>
        <v>2.95</v>
      </c>
      <c r="Q357" s="1001"/>
      <c r="R357" s="58">
        <v>6</v>
      </c>
      <c r="S357" s="58">
        <f>Q66</f>
        <v>1020</v>
      </c>
      <c r="T357" s="58">
        <f>R66</f>
        <v>0.9</v>
      </c>
      <c r="U357" s="58">
        <f>S66</f>
        <v>9.9999999999999995E-7</v>
      </c>
      <c r="V357" s="58" t="str">
        <f>T66</f>
        <v>-</v>
      </c>
      <c r="W357" s="329">
        <f>U66</f>
        <v>0.4499995</v>
      </c>
      <c r="AE357" s="490"/>
    </row>
    <row r="358" spans="1:31" ht="13" hidden="1" x14ac:dyDescent="0.3">
      <c r="A358" s="998"/>
      <c r="B358" s="58">
        <v>7</v>
      </c>
      <c r="C358" s="58">
        <f>C77</f>
        <v>40</v>
      </c>
      <c r="D358" s="58">
        <f t="shared" ref="D358:F358" si="186">D77</f>
        <v>0.1</v>
      </c>
      <c r="E358" s="58">
        <f t="shared" si="186"/>
        <v>-1.7</v>
      </c>
      <c r="F358" s="58" t="str">
        <f t="shared" si="186"/>
        <v>-</v>
      </c>
      <c r="G358" s="58">
        <f>G77</f>
        <v>0.9</v>
      </c>
      <c r="I358" s="998"/>
      <c r="J358" s="58">
        <v>7</v>
      </c>
      <c r="K358" s="58">
        <f>J77</f>
        <v>90</v>
      </c>
      <c r="L358" s="58">
        <f>K77</f>
        <v>-3</v>
      </c>
      <c r="M358" s="58">
        <f>L77</f>
        <v>1.8</v>
      </c>
      <c r="N358" s="58" t="str">
        <f>M77</f>
        <v>-</v>
      </c>
      <c r="O358" s="58">
        <f>N77</f>
        <v>2.4</v>
      </c>
      <c r="Q358" s="1001"/>
      <c r="R358" s="58">
        <v>7</v>
      </c>
      <c r="S358" s="58">
        <f>Q77</f>
        <v>1020</v>
      </c>
      <c r="T358" s="58">
        <f>R77</f>
        <v>-3.8</v>
      </c>
      <c r="U358" s="58">
        <f>S77</f>
        <v>9.9999999999999995E-7</v>
      </c>
      <c r="V358" s="58" t="str">
        <f>T77</f>
        <v>-</v>
      </c>
      <c r="W358" s="329">
        <f>U77</f>
        <v>1.9000005</v>
      </c>
      <c r="AE358" s="490"/>
    </row>
    <row r="359" spans="1:31" ht="13" hidden="1" x14ac:dyDescent="0.3">
      <c r="A359" s="998"/>
      <c r="B359" s="58">
        <v>8</v>
      </c>
      <c r="C359" s="58">
        <f>C88</f>
        <v>40</v>
      </c>
      <c r="D359" s="58">
        <f t="shared" ref="D359:F359" si="187">D88</f>
        <v>9.9999999999999995E-7</v>
      </c>
      <c r="E359" s="58">
        <f t="shared" si="187"/>
        <v>-0.4</v>
      </c>
      <c r="F359" s="58" t="str">
        <f t="shared" si="187"/>
        <v>-</v>
      </c>
      <c r="G359" s="58">
        <f>G88</f>
        <v>0.2000005</v>
      </c>
      <c r="I359" s="998"/>
      <c r="J359" s="58">
        <v>8</v>
      </c>
      <c r="K359" s="58">
        <f>J88</f>
        <v>90</v>
      </c>
      <c r="L359" s="58">
        <f>K88</f>
        <v>-4.9000000000000004</v>
      </c>
      <c r="M359" s="58">
        <f>L88</f>
        <v>-1.3</v>
      </c>
      <c r="N359" s="58" t="str">
        <f>M88</f>
        <v>-</v>
      </c>
      <c r="O359" s="58">
        <f>N88</f>
        <v>1.8000000000000003</v>
      </c>
      <c r="Q359" s="1001"/>
      <c r="R359" s="58">
        <v>8</v>
      </c>
      <c r="S359" s="58">
        <f>Q88</f>
        <v>1020</v>
      </c>
      <c r="T359" s="58">
        <f>R88</f>
        <v>-3.4</v>
      </c>
      <c r="U359" s="58">
        <f>S88</f>
        <v>9.9999999999999995E-7</v>
      </c>
      <c r="V359" s="58" t="str">
        <f>T88</f>
        <v>-</v>
      </c>
      <c r="W359" s="329">
        <f>U88</f>
        <v>1.7000005</v>
      </c>
      <c r="AE359" s="490"/>
    </row>
    <row r="360" spans="1:31" ht="13" hidden="1" x14ac:dyDescent="0.3">
      <c r="A360" s="998"/>
      <c r="B360" s="58">
        <v>9</v>
      </c>
      <c r="C360" s="58">
        <f>C99</f>
        <v>40</v>
      </c>
      <c r="D360" s="58">
        <f t="shared" ref="D360:F360" si="188">D99</f>
        <v>-0.4</v>
      </c>
      <c r="E360" s="58" t="str">
        <f t="shared" si="188"/>
        <v>-</v>
      </c>
      <c r="F360" s="58" t="str">
        <f t="shared" si="188"/>
        <v>-</v>
      </c>
      <c r="G360" s="58">
        <f>G99</f>
        <v>0</v>
      </c>
      <c r="I360" s="998"/>
      <c r="J360" s="58">
        <v>9</v>
      </c>
      <c r="K360" s="58">
        <f>J99</f>
        <v>90</v>
      </c>
      <c r="L360" s="58">
        <f>K99</f>
        <v>-0.2</v>
      </c>
      <c r="M360" s="58" t="str">
        <f>L99</f>
        <v>-</v>
      </c>
      <c r="N360" s="58" t="str">
        <f>M99</f>
        <v>-</v>
      </c>
      <c r="O360" s="58">
        <f>N99</f>
        <v>0</v>
      </c>
      <c r="Q360" s="1001"/>
      <c r="R360" s="58">
        <v>9</v>
      </c>
      <c r="S360" s="58">
        <f>Q99</f>
        <v>1020</v>
      </c>
      <c r="T360" s="58">
        <f>R99</f>
        <v>9.9999999999999995E-7</v>
      </c>
      <c r="U360" s="58" t="str">
        <f>S99</f>
        <v>-</v>
      </c>
      <c r="V360" s="58" t="str">
        <f>T99</f>
        <v>-</v>
      </c>
      <c r="W360" s="329">
        <f>U99</f>
        <v>0</v>
      </c>
      <c r="AE360" s="490"/>
    </row>
    <row r="361" spans="1:31" ht="13" hidden="1" x14ac:dyDescent="0.3">
      <c r="A361" s="998"/>
      <c r="B361" s="58">
        <v>10</v>
      </c>
      <c r="C361" s="58">
        <f>C110</f>
        <v>40</v>
      </c>
      <c r="D361" s="58">
        <f t="shared" ref="D361:F361" si="189">D110</f>
        <v>0.4</v>
      </c>
      <c r="E361" s="58">
        <f t="shared" si="189"/>
        <v>0.2</v>
      </c>
      <c r="F361" s="58">
        <f t="shared" si="189"/>
        <v>9.9999999999999995E-7</v>
      </c>
      <c r="G361" s="58">
        <f>G110</f>
        <v>0.19999950000000002</v>
      </c>
      <c r="I361" s="998"/>
      <c r="J361" s="58">
        <v>10</v>
      </c>
      <c r="K361" s="58">
        <f>J110</f>
        <v>90</v>
      </c>
      <c r="L361" s="58">
        <f>K110</f>
        <v>4.2</v>
      </c>
      <c r="M361" s="58">
        <f>L110</f>
        <v>5.4</v>
      </c>
      <c r="N361" s="58">
        <f>M110</f>
        <v>9.9999999999999995E-7</v>
      </c>
      <c r="O361" s="58">
        <f>N110</f>
        <v>2.6999995000000001</v>
      </c>
      <c r="Q361" s="1001"/>
      <c r="R361" s="58">
        <v>10</v>
      </c>
      <c r="S361" s="58">
        <f>Q110</f>
        <v>1020</v>
      </c>
      <c r="T361" s="58" t="str">
        <f>R110</f>
        <v>-</v>
      </c>
      <c r="U361" s="58" t="str">
        <f>S110</f>
        <v>-</v>
      </c>
      <c r="V361" s="58" t="str">
        <f>T110</f>
        <v>-</v>
      </c>
      <c r="W361" s="329">
        <f>U110</f>
        <v>0</v>
      </c>
      <c r="AE361" s="490"/>
    </row>
    <row r="362" spans="1:31" ht="13" hidden="1" x14ac:dyDescent="0.3">
      <c r="A362" s="998"/>
      <c r="B362" s="58">
        <v>11</v>
      </c>
      <c r="C362" s="58">
        <f>C121</f>
        <v>40</v>
      </c>
      <c r="D362" s="58">
        <f t="shared" ref="D362:F362" si="190">D121</f>
        <v>-0.5</v>
      </c>
      <c r="E362" s="58">
        <f t="shared" si="190"/>
        <v>0.5</v>
      </c>
      <c r="F362" s="58">
        <f t="shared" si="190"/>
        <v>9.9999999999999995E-7</v>
      </c>
      <c r="G362" s="58">
        <f>G121</f>
        <v>0.5</v>
      </c>
      <c r="I362" s="998"/>
      <c r="J362" s="58">
        <v>11</v>
      </c>
      <c r="K362" s="58">
        <f>J121</f>
        <v>90</v>
      </c>
      <c r="L362" s="58">
        <f>K121</f>
        <v>1.7</v>
      </c>
      <c r="M362" s="58">
        <f>L121</f>
        <v>1.3</v>
      </c>
      <c r="N362" s="58">
        <f>M121</f>
        <v>9.9999999999999995E-7</v>
      </c>
      <c r="O362" s="58">
        <f>N121</f>
        <v>0.84999950000000002</v>
      </c>
      <c r="Q362" s="1001"/>
      <c r="R362" s="58">
        <v>11</v>
      </c>
      <c r="S362" s="58">
        <f>Q121</f>
        <v>1020</v>
      </c>
      <c r="T362" s="58" t="str">
        <f>R121</f>
        <v>-</v>
      </c>
      <c r="U362" s="58" t="str">
        <f>S121</f>
        <v>-</v>
      </c>
      <c r="V362" s="58" t="str">
        <f>T121</f>
        <v>-</v>
      </c>
      <c r="W362" s="329">
        <f>U121</f>
        <v>0</v>
      </c>
      <c r="AE362" s="490"/>
    </row>
    <row r="363" spans="1:31" ht="13" hidden="1" x14ac:dyDescent="0.3">
      <c r="A363" s="998"/>
      <c r="B363" s="58">
        <v>12</v>
      </c>
      <c r="C363" s="58">
        <f>C132</f>
        <v>40</v>
      </c>
      <c r="D363" s="58">
        <f t="shared" ref="D363:F363" si="191">D132</f>
        <v>-0.4</v>
      </c>
      <c r="E363" s="58" t="str">
        <f t="shared" si="191"/>
        <v>-</v>
      </c>
      <c r="F363" s="58" t="str">
        <f t="shared" si="191"/>
        <v>-</v>
      </c>
      <c r="G363" s="58">
        <f>G132</f>
        <v>0</v>
      </c>
      <c r="I363" s="998"/>
      <c r="J363" s="58">
        <v>12</v>
      </c>
      <c r="K363" s="58">
        <f>J132</f>
        <v>90</v>
      </c>
      <c r="L363" s="58">
        <f>K132</f>
        <v>-0.9</v>
      </c>
      <c r="M363" s="58" t="str">
        <f>L132</f>
        <v>-</v>
      </c>
      <c r="N363" s="58" t="str">
        <f>M132</f>
        <v>-</v>
      </c>
      <c r="O363" s="58">
        <f>N132</f>
        <v>0</v>
      </c>
      <c r="Q363" s="1001"/>
      <c r="R363" s="58">
        <v>12</v>
      </c>
      <c r="S363" s="58">
        <f>Q132</f>
        <v>1020</v>
      </c>
      <c r="T363" s="58">
        <f>R132</f>
        <v>9.9999999999999995E-7</v>
      </c>
      <c r="U363" s="58" t="str">
        <f>S132</f>
        <v>-</v>
      </c>
      <c r="V363" s="58" t="str">
        <f>T132</f>
        <v>-</v>
      </c>
      <c r="W363" s="329">
        <f>U132</f>
        <v>0</v>
      </c>
      <c r="AE363" s="490"/>
    </row>
    <row r="364" spans="1:31" ht="13" hidden="1" x14ac:dyDescent="0.3">
      <c r="A364" s="998"/>
      <c r="B364" s="58">
        <v>13</v>
      </c>
      <c r="C364" s="58">
        <f>C143</f>
        <v>40</v>
      </c>
      <c r="D364" s="58">
        <f t="shared" ref="D364:F364" si="192">D143</f>
        <v>-0.2</v>
      </c>
      <c r="E364" s="58">
        <f t="shared" si="192"/>
        <v>0.5</v>
      </c>
      <c r="F364" s="58" t="str">
        <f t="shared" si="192"/>
        <v>-</v>
      </c>
      <c r="G364" s="58">
        <f>G143</f>
        <v>0.35</v>
      </c>
      <c r="I364" s="998"/>
      <c r="J364" s="58">
        <v>13</v>
      </c>
      <c r="K364" s="58">
        <f>J143</f>
        <v>90</v>
      </c>
      <c r="L364" s="58">
        <f>K143</f>
        <v>-1</v>
      </c>
      <c r="M364" s="58">
        <f>L143</f>
        <v>-3.2</v>
      </c>
      <c r="N364" s="58" t="str">
        <f>M143</f>
        <v>-</v>
      </c>
      <c r="O364" s="58">
        <f>N143</f>
        <v>1.1000000000000001</v>
      </c>
      <c r="Q364" s="1001"/>
      <c r="R364" s="58">
        <v>13</v>
      </c>
      <c r="S364" s="58">
        <f>Q143</f>
        <v>1020</v>
      </c>
      <c r="T364" s="58">
        <f>R143</f>
        <v>9.9999999999999995E-7</v>
      </c>
      <c r="U364" s="58">
        <f>S143</f>
        <v>9.9999999999999995E-7</v>
      </c>
      <c r="V364" s="58" t="str">
        <f>T143</f>
        <v>-</v>
      </c>
      <c r="W364" s="329">
        <f>U143</f>
        <v>0</v>
      </c>
      <c r="AE364" s="490"/>
    </row>
    <row r="365" spans="1:31" ht="13" hidden="1" x14ac:dyDescent="0.3">
      <c r="A365" s="998"/>
      <c r="B365" s="58">
        <v>14</v>
      </c>
      <c r="C365" s="58">
        <f>C154</f>
        <v>40</v>
      </c>
      <c r="D365" s="58">
        <f t="shared" ref="D365:F365" si="193">D154</f>
        <v>-0.8</v>
      </c>
      <c r="E365" s="58">
        <f t="shared" si="193"/>
        <v>-1.1000000000000001</v>
      </c>
      <c r="F365" s="58" t="str">
        <f t="shared" si="193"/>
        <v>-</v>
      </c>
      <c r="G365" s="58">
        <f>G154</f>
        <v>0.15000000000000002</v>
      </c>
      <c r="I365" s="998"/>
      <c r="J365" s="58">
        <v>14</v>
      </c>
      <c r="K365" s="58">
        <f>J154</f>
        <v>90</v>
      </c>
      <c r="L365" s="58">
        <f>K154</f>
        <v>1.5</v>
      </c>
      <c r="M365" s="58">
        <f>L154</f>
        <v>-0.8</v>
      </c>
      <c r="N365" s="58" t="str">
        <f>M154</f>
        <v>-</v>
      </c>
      <c r="O365" s="58">
        <f>N154</f>
        <v>1.1499999999999999</v>
      </c>
      <c r="Q365" s="1001"/>
      <c r="R365" s="58">
        <v>14</v>
      </c>
      <c r="S365" s="58">
        <f>Q154</f>
        <v>1020</v>
      </c>
      <c r="T365" s="58">
        <f>R154</f>
        <v>9.9999999999999995E-7</v>
      </c>
      <c r="U365" s="58">
        <f>S154</f>
        <v>9.9999999999999995E-7</v>
      </c>
      <c r="V365" s="58" t="str">
        <f>T154</f>
        <v>-</v>
      </c>
      <c r="W365" s="329">
        <f>U154</f>
        <v>0</v>
      </c>
      <c r="AE365" s="490"/>
    </row>
    <row r="366" spans="1:31" ht="13" hidden="1" x14ac:dyDescent="0.3">
      <c r="A366" s="998"/>
      <c r="B366" s="58">
        <v>15</v>
      </c>
      <c r="C366" s="58">
        <f>C165</f>
        <v>40</v>
      </c>
      <c r="D366" s="58">
        <f t="shared" ref="D366:F366" si="194">D165</f>
        <v>1.4</v>
      </c>
      <c r="E366" s="58">
        <f t="shared" si="194"/>
        <v>9.9999999999999995E-7</v>
      </c>
      <c r="F366" s="58" t="str">
        <f t="shared" si="194"/>
        <v>-</v>
      </c>
      <c r="G366" s="58">
        <f>G165</f>
        <v>0.6999995</v>
      </c>
      <c r="I366" s="998"/>
      <c r="J366" s="58">
        <v>15</v>
      </c>
      <c r="K366" s="58">
        <f>J165</f>
        <v>90</v>
      </c>
      <c r="L366" s="58">
        <f>K165</f>
        <v>-0.1</v>
      </c>
      <c r="M366" s="58">
        <f>L165</f>
        <v>-2</v>
      </c>
      <c r="N366" s="58" t="str">
        <f>M165</f>
        <v>-</v>
      </c>
      <c r="O366" s="58">
        <f>N165</f>
        <v>0.95</v>
      </c>
      <c r="Q366" s="1001"/>
      <c r="R366" s="58">
        <v>15</v>
      </c>
      <c r="S366" s="58">
        <f>Q165</f>
        <v>1020</v>
      </c>
      <c r="T366" s="58">
        <f>R165</f>
        <v>9.9999999999999995E-7</v>
      </c>
      <c r="U366" s="58">
        <f>S165</f>
        <v>9.9999999999999995E-7</v>
      </c>
      <c r="V366" s="58" t="str">
        <f>T165</f>
        <v>-</v>
      </c>
      <c r="W366" s="329">
        <f>U165</f>
        <v>0</v>
      </c>
      <c r="AE366" s="490"/>
    </row>
    <row r="367" spans="1:31" ht="13" hidden="1" x14ac:dyDescent="0.3">
      <c r="A367" s="998"/>
      <c r="B367" s="58">
        <v>16</v>
      </c>
      <c r="C367" s="58">
        <f>C176</f>
        <v>40</v>
      </c>
      <c r="D367" s="58">
        <f t="shared" ref="D367:F367" si="195">D176</f>
        <v>9.9999999999999995E-7</v>
      </c>
      <c r="E367" s="58" t="str">
        <f t="shared" si="195"/>
        <v>-</v>
      </c>
      <c r="F367" s="58" t="str">
        <f t="shared" si="195"/>
        <v>-</v>
      </c>
      <c r="G367" s="58">
        <f>G176</f>
        <v>0</v>
      </c>
      <c r="I367" s="998"/>
      <c r="J367" s="58">
        <v>16</v>
      </c>
      <c r="K367" s="58">
        <f>J176</f>
        <v>90</v>
      </c>
      <c r="L367" s="58">
        <f>K176</f>
        <v>-3</v>
      </c>
      <c r="M367" s="58" t="str">
        <f>L176</f>
        <v>-</v>
      </c>
      <c r="N367" s="58" t="str">
        <f>M176</f>
        <v>-</v>
      </c>
      <c r="O367" s="58">
        <f>N176</f>
        <v>0</v>
      </c>
      <c r="Q367" s="1001"/>
      <c r="R367" s="58">
        <v>16</v>
      </c>
      <c r="S367" s="58">
        <f>Q176</f>
        <v>1020</v>
      </c>
      <c r="T367" s="58">
        <f>R176</f>
        <v>9.9999999999999995E-7</v>
      </c>
      <c r="U367" s="58" t="str">
        <f>S176</f>
        <v>-</v>
      </c>
      <c r="V367" s="58" t="str">
        <f>T176</f>
        <v>-</v>
      </c>
      <c r="W367" s="329">
        <f>U176</f>
        <v>0</v>
      </c>
      <c r="AE367" s="490"/>
    </row>
    <row r="368" spans="1:31" ht="13" hidden="1" x14ac:dyDescent="0.3">
      <c r="A368" s="998"/>
      <c r="B368" s="58">
        <v>17</v>
      </c>
      <c r="C368" s="58">
        <f>C187</f>
        <v>40</v>
      </c>
      <c r="D368" s="58">
        <f t="shared" ref="D368:F368" si="196">D187</f>
        <v>-0.8</v>
      </c>
      <c r="E368" s="58" t="str">
        <f t="shared" si="196"/>
        <v>-</v>
      </c>
      <c r="F368" s="58" t="str">
        <f t="shared" si="196"/>
        <v>-</v>
      </c>
      <c r="G368" s="58">
        <f>G187</f>
        <v>0</v>
      </c>
      <c r="I368" s="998"/>
      <c r="J368" s="58">
        <v>17</v>
      </c>
      <c r="K368" s="58">
        <f>J187</f>
        <v>90</v>
      </c>
      <c r="L368" s="58">
        <f>K187</f>
        <v>-1.4</v>
      </c>
      <c r="M368" s="58" t="str">
        <f>L187</f>
        <v>-</v>
      </c>
      <c r="N368" s="58" t="str">
        <f>M187</f>
        <v>-</v>
      </c>
      <c r="O368" s="58">
        <f>N187</f>
        <v>0</v>
      </c>
      <c r="Q368" s="1001"/>
      <c r="R368" s="58">
        <v>17</v>
      </c>
      <c r="S368" s="58">
        <f>Q187</f>
        <v>1020</v>
      </c>
      <c r="T368" s="58">
        <f>R187</f>
        <v>9.9999999999999995E-7</v>
      </c>
      <c r="U368" s="58" t="str">
        <f>S187</f>
        <v>-</v>
      </c>
      <c r="V368" s="58" t="str">
        <f>T187</f>
        <v>-</v>
      </c>
      <c r="W368" s="329">
        <f>U187</f>
        <v>0</v>
      </c>
      <c r="AE368" s="490"/>
    </row>
    <row r="369" spans="1:31" ht="13" hidden="1" x14ac:dyDescent="0.3">
      <c r="A369" s="998"/>
      <c r="B369" s="58">
        <v>18</v>
      </c>
      <c r="C369" s="58">
        <f>C198</f>
        <v>40</v>
      </c>
      <c r="D369" s="58">
        <f t="shared" ref="D369:F369" si="197">D198</f>
        <v>-0.4</v>
      </c>
      <c r="E369" s="58" t="str">
        <f t="shared" si="197"/>
        <v>-</v>
      </c>
      <c r="F369" s="58" t="str">
        <f t="shared" si="197"/>
        <v>-</v>
      </c>
      <c r="G369" s="58">
        <f>G198</f>
        <v>0</v>
      </c>
      <c r="I369" s="998"/>
      <c r="J369" s="58">
        <v>18</v>
      </c>
      <c r="K369" s="58">
        <f>J198</f>
        <v>90</v>
      </c>
      <c r="L369" s="58">
        <f>K198</f>
        <v>-0.8</v>
      </c>
      <c r="M369" s="58" t="str">
        <f>L198</f>
        <v>-</v>
      </c>
      <c r="N369" s="58" t="str">
        <f>M198</f>
        <v>-</v>
      </c>
      <c r="O369" s="58">
        <f>N198</f>
        <v>0</v>
      </c>
      <c r="Q369" s="1001"/>
      <c r="R369" s="58">
        <v>18</v>
      </c>
      <c r="S369" s="58">
        <f>Q198</f>
        <v>1020</v>
      </c>
      <c r="T369" s="58">
        <f>R198</f>
        <v>9.9999999999999995E-7</v>
      </c>
      <c r="U369" s="58" t="str">
        <f>S198</f>
        <v>-</v>
      </c>
      <c r="V369" s="58" t="str">
        <f>T198</f>
        <v>-</v>
      </c>
      <c r="W369" s="329">
        <f>U198</f>
        <v>0</v>
      </c>
      <c r="AE369" s="490"/>
    </row>
    <row r="370" spans="1:31" ht="13" hidden="1" x14ac:dyDescent="0.3">
      <c r="A370" s="998"/>
      <c r="B370" s="58">
        <v>19</v>
      </c>
      <c r="C370" s="58">
        <f>C209</f>
        <v>40</v>
      </c>
      <c r="D370" s="58">
        <f t="shared" ref="D370:F370" si="198">D209</f>
        <v>0.2</v>
      </c>
      <c r="E370" s="58" t="str">
        <f t="shared" si="198"/>
        <v>-</v>
      </c>
      <c r="F370" s="58" t="str">
        <f t="shared" si="198"/>
        <v>-</v>
      </c>
      <c r="G370" s="58">
        <f>G209</f>
        <v>0</v>
      </c>
      <c r="I370" s="998"/>
      <c r="J370" s="58">
        <v>19</v>
      </c>
      <c r="K370" s="58">
        <f>J209</f>
        <v>90</v>
      </c>
      <c r="L370" s="58">
        <f>K209</f>
        <v>-0.6</v>
      </c>
      <c r="M370" s="58" t="str">
        <f>L209</f>
        <v>-</v>
      </c>
      <c r="N370" s="58" t="str">
        <f>M209</f>
        <v>-</v>
      </c>
      <c r="O370" s="58">
        <f>N209</f>
        <v>0</v>
      </c>
      <c r="Q370" s="1001"/>
      <c r="R370" s="58">
        <v>19</v>
      </c>
      <c r="S370" s="58">
        <f>Q209</f>
        <v>1020</v>
      </c>
      <c r="T370" s="58">
        <f>R209</f>
        <v>2.2999999999999998</v>
      </c>
      <c r="U370" s="58" t="str">
        <f>S209</f>
        <v>-</v>
      </c>
      <c r="V370" s="58" t="str">
        <f>T209</f>
        <v>-</v>
      </c>
      <c r="W370" s="329">
        <f>U209</f>
        <v>0</v>
      </c>
      <c r="AE370" s="490"/>
    </row>
    <row r="371" spans="1:31" ht="13.5" hidden="1" thickBot="1" x14ac:dyDescent="0.35">
      <c r="A371" s="998"/>
      <c r="B371" s="58">
        <v>20</v>
      </c>
      <c r="C371" s="58">
        <f>C220</f>
        <v>40</v>
      </c>
      <c r="D371" s="58">
        <f t="shared" ref="D371:F371" si="199">D220</f>
        <v>9.9999999999999995E-7</v>
      </c>
      <c r="E371" s="58" t="str">
        <f t="shared" si="199"/>
        <v>-</v>
      </c>
      <c r="F371" s="58" t="str">
        <f t="shared" si="199"/>
        <v>-</v>
      </c>
      <c r="G371" s="58">
        <f>G220</f>
        <v>0</v>
      </c>
      <c r="I371" s="998"/>
      <c r="J371" s="58">
        <v>20</v>
      </c>
      <c r="K371" s="58">
        <f>J220</f>
        <v>90</v>
      </c>
      <c r="L371" s="58">
        <f>K220</f>
        <v>9.9999999999999995E-7</v>
      </c>
      <c r="M371" s="58" t="str">
        <f>L220</f>
        <v>-</v>
      </c>
      <c r="N371" s="58" t="str">
        <f>M220</f>
        <v>-</v>
      </c>
      <c r="O371" s="58">
        <f>N220</f>
        <v>0</v>
      </c>
      <c r="Q371" s="1002"/>
      <c r="R371" s="338">
        <v>20</v>
      </c>
      <c r="S371" s="338">
        <f>Q220</f>
        <v>1020</v>
      </c>
      <c r="T371" s="338">
        <f>R220</f>
        <v>9.9999999999999995E-7</v>
      </c>
      <c r="U371" s="338" t="str">
        <f>S220</f>
        <v>-</v>
      </c>
      <c r="V371" s="338" t="str">
        <f>T220</f>
        <v>-</v>
      </c>
      <c r="W371" s="339">
        <f>U220</f>
        <v>0</v>
      </c>
      <c r="AE371" s="576"/>
    </row>
    <row r="372" spans="1:31" ht="13.5" thickBot="1" x14ac:dyDescent="0.35">
      <c r="A372" s="584"/>
      <c r="B372" s="585"/>
      <c r="C372" s="489"/>
      <c r="D372" s="489"/>
      <c r="E372" s="489"/>
      <c r="F372" s="489"/>
      <c r="G372" s="489"/>
      <c r="H372" s="490"/>
      <c r="I372" s="575"/>
      <c r="J372" s="585"/>
      <c r="K372" s="489"/>
      <c r="L372" s="489"/>
      <c r="M372" s="489"/>
      <c r="N372" s="489"/>
      <c r="O372" s="489"/>
      <c r="P372" s="490"/>
    </row>
    <row r="373" spans="1:31" ht="29.25" customHeight="1" x14ac:dyDescent="0.25">
      <c r="A373" s="586">
        <f>A410</f>
        <v>14</v>
      </c>
      <c r="B373" s="1003" t="str">
        <f>A389</f>
        <v>Thermohygrolight, Merek : EXTECH, Model : SD700, SN : A.100609</v>
      </c>
      <c r="C373" s="1003"/>
      <c r="D373" s="1003"/>
      <c r="E373" s="1003"/>
      <c r="G373" s="586">
        <f>A373</f>
        <v>14</v>
      </c>
      <c r="H373" s="1003" t="str">
        <f>B373</f>
        <v>Thermohygrolight, Merek : EXTECH, Model : SD700, SN : A.100609</v>
      </c>
      <c r="I373" s="1003"/>
      <c r="J373" s="1003"/>
      <c r="K373" s="1003"/>
      <c r="M373" s="586">
        <f>G373</f>
        <v>14</v>
      </c>
      <c r="N373" s="1003" t="str">
        <f>H373</f>
        <v>Thermohygrolight, Merek : EXTECH, Model : SD700, SN : A.100609</v>
      </c>
      <c r="O373" s="1003"/>
      <c r="P373" s="1003"/>
      <c r="Q373" s="1003"/>
      <c r="S373" s="587">
        <f>A373</f>
        <v>14</v>
      </c>
      <c r="T373" s="1004" t="str">
        <f>H373</f>
        <v>Thermohygrolight, Merek : EXTECH, Model : SD700, SN : A.100609</v>
      </c>
      <c r="U373" s="1004"/>
      <c r="V373" s="1004"/>
      <c r="W373" s="1005"/>
      <c r="Z373" s="588"/>
      <c r="AE373" s="561"/>
    </row>
    <row r="374" spans="1:31" ht="13" x14ac:dyDescent="0.3">
      <c r="A374" s="589" t="s">
        <v>174</v>
      </c>
      <c r="B374" s="1006" t="s">
        <v>175</v>
      </c>
      <c r="C374" s="1006"/>
      <c r="D374" s="1006"/>
      <c r="E374" s="1006" t="s">
        <v>176</v>
      </c>
      <c r="G374" s="589" t="s">
        <v>177</v>
      </c>
      <c r="H374" s="1006" t="s">
        <v>175</v>
      </c>
      <c r="I374" s="1006"/>
      <c r="J374" s="1006"/>
      <c r="K374" s="1006" t="s">
        <v>176</v>
      </c>
      <c r="M374" s="589" t="s">
        <v>178</v>
      </c>
      <c r="N374" s="1006" t="s">
        <v>175</v>
      </c>
      <c r="O374" s="1006"/>
      <c r="P374" s="1006"/>
      <c r="Q374" s="1006" t="s">
        <v>176</v>
      </c>
      <c r="S374" s="1009"/>
      <c r="T374" s="1007" t="s">
        <v>200</v>
      </c>
      <c r="U374" s="1007" t="s">
        <v>201</v>
      </c>
      <c r="V374" s="1007" t="s">
        <v>202</v>
      </c>
      <c r="W374" s="1008" t="s">
        <v>173</v>
      </c>
      <c r="Z374" s="489"/>
    </row>
    <row r="375" spans="1:31" ht="14" x14ac:dyDescent="0.3">
      <c r="A375" s="483" t="s">
        <v>390</v>
      </c>
      <c r="B375" s="590">
        <f>VLOOKUP(B373,A390:L409,9,FALSE)</f>
        <v>2022</v>
      </c>
      <c r="C375" s="590">
        <f>VLOOKUP(B373,A390:L409,10,FALSE)</f>
        <v>2020</v>
      </c>
      <c r="D375" s="590" t="str">
        <f>VLOOKUP(B373,A390:L409,11,FALSE)</f>
        <v>-</v>
      </c>
      <c r="E375" s="1006"/>
      <c r="G375" s="202" t="s">
        <v>19</v>
      </c>
      <c r="H375" s="590">
        <f>B375</f>
        <v>2022</v>
      </c>
      <c r="I375" s="590">
        <f>C375</f>
        <v>2020</v>
      </c>
      <c r="J375" s="590" t="str">
        <f>D375</f>
        <v>-</v>
      </c>
      <c r="K375" s="1006"/>
      <c r="M375" s="202" t="s">
        <v>179</v>
      </c>
      <c r="N375" s="590">
        <f>H375</f>
        <v>2022</v>
      </c>
      <c r="O375" s="590">
        <f>I375</f>
        <v>2020</v>
      </c>
      <c r="P375" s="590" t="str">
        <f>J375</f>
        <v>-</v>
      </c>
      <c r="Q375" s="1006"/>
      <c r="S375" s="1009"/>
      <c r="T375" s="1007"/>
      <c r="U375" s="1007"/>
      <c r="V375" s="1007"/>
      <c r="W375" s="1008"/>
      <c r="Z375" s="489"/>
    </row>
    <row r="376" spans="1:31" ht="13" x14ac:dyDescent="0.3">
      <c r="A376" s="205">
        <f>VLOOKUP($A$373,$B$226:$G$245,2,FALSE)</f>
        <v>15</v>
      </c>
      <c r="B376" s="205">
        <f>VLOOKUP($A$373,$B$226:$G$245,3,FALSE)</f>
        <v>0.5</v>
      </c>
      <c r="C376" s="205">
        <f>VLOOKUP($A$373,$B$226:$G$245,4,FALSE)</f>
        <v>-0.2</v>
      </c>
      <c r="D376" s="205" t="str">
        <f>VLOOKUP($A$373,$B$226:$G$245,5,FALSE)</f>
        <v>-</v>
      </c>
      <c r="E376" s="205">
        <f>VLOOKUP($A$373,$B$226:$G$245,6,FALSE)</f>
        <v>0.35</v>
      </c>
      <c r="G376" s="205">
        <f>VLOOKUP($G$373,$J$226:$O$245,2,FALSE)</f>
        <v>30</v>
      </c>
      <c r="H376" s="205">
        <f>VLOOKUP($G$373,$J$226:$O$245,3,FALSE)</f>
        <v>-0.8</v>
      </c>
      <c r="I376" s="205">
        <f>VLOOKUP($G$373,$J$226:$O$245,4,FALSE)</f>
        <v>0.6</v>
      </c>
      <c r="J376" s="205" t="str">
        <f>VLOOKUP($G$373,$J$226:$O$245,5,FALSE)</f>
        <v>-</v>
      </c>
      <c r="K376" s="205">
        <f>VLOOKUP($G$373,$J$226:$O$245,6,FALSE)</f>
        <v>0.7</v>
      </c>
      <c r="M376" s="205">
        <f>VLOOKUP($M$373,$R$226:$W$245,2,FALSE)</f>
        <v>985</v>
      </c>
      <c r="N376" s="205">
        <f>VLOOKUP($M$373,$R$226:$W$245,3,FALSE)</f>
        <v>3.9</v>
      </c>
      <c r="O376" s="205">
        <f>VLOOKUP($M$373,$R$226:$W$245,4,FALSE)</f>
        <v>0.9</v>
      </c>
      <c r="P376" s="205" t="str">
        <f>VLOOKUP($M$373,$R$226:$W$245,5,FALSE)</f>
        <v>-</v>
      </c>
      <c r="Q376" s="205">
        <f>VLOOKUP($M$373,$R$226:$W$245,6,FALSE)</f>
        <v>1.5</v>
      </c>
      <c r="S376" s="1009"/>
      <c r="T376" s="1007"/>
      <c r="U376" s="1007"/>
      <c r="V376" s="1007"/>
      <c r="W376" s="1008"/>
      <c r="Z376" s="489"/>
    </row>
    <row r="377" spans="1:31" ht="13" x14ac:dyDescent="0.3">
      <c r="A377" s="205">
        <f>VLOOKUP($A$373,$B$247:$G$266,2,FALSE)</f>
        <v>20</v>
      </c>
      <c r="B377" s="205">
        <f>VLOOKUP($A$373,$B$247:$G$266,3,FALSE)</f>
        <v>0.2</v>
      </c>
      <c r="C377" s="205">
        <f>VLOOKUP($A$373,$B$247:$G$266,4,FALSE)</f>
        <v>-0.1</v>
      </c>
      <c r="D377" s="205" t="str">
        <f>VLOOKUP($A$373,$B$247:$G$266,5,FALSE)</f>
        <v>-</v>
      </c>
      <c r="E377" s="205">
        <f>VLOOKUP($A$373,$B$247:$G$266,6,FALSE)</f>
        <v>0.15000000000000002</v>
      </c>
      <c r="G377" s="205">
        <f>VLOOKUP($G$373,$J$247:$O$266,2,FALSE)</f>
        <v>40</v>
      </c>
      <c r="H377" s="205">
        <f>VLOOKUP($G$373,$J$247:$O$266,3,FALSE)</f>
        <v>-0.4</v>
      </c>
      <c r="I377" s="205">
        <f>VLOOKUP($G$373,$J$247:$O$266,4,FALSE)</f>
        <v>0.3</v>
      </c>
      <c r="J377" s="205" t="str">
        <f>VLOOKUP($G$373,$J$247:$O$266,5,FALSE)</f>
        <v>-</v>
      </c>
      <c r="K377" s="205">
        <f>VLOOKUP($G$373,$J$247:$O$266,6,FALSE)</f>
        <v>0.35</v>
      </c>
      <c r="M377" s="205">
        <f>VLOOKUP($M$373,$R$247:$W$266,2,FALSE)</f>
        <v>990</v>
      </c>
      <c r="N377" s="205">
        <f>VLOOKUP($M$373,$R$247:$W$266,3,FALSE)</f>
        <v>3.9</v>
      </c>
      <c r="O377" s="205">
        <f>VLOOKUP($M$373,$R$247:$W$266,4,FALSE)</f>
        <v>1</v>
      </c>
      <c r="P377" s="205" t="str">
        <f>VLOOKUP($M$373,$R$247:$W$266,5,FALSE)</f>
        <v>-</v>
      </c>
      <c r="Q377" s="205">
        <f>VLOOKUP($M$373,$R$247:$W$266,6,FALSE)</f>
        <v>1.45</v>
      </c>
      <c r="S377" s="591" t="s">
        <v>174</v>
      </c>
      <c r="T377" s="592">
        <f>AVERAGE(ID!E15:F15)</f>
        <v>24.3</v>
      </c>
      <c r="U377" s="577">
        <f>T377+S386</f>
        <v>24.268188124306327</v>
      </c>
      <c r="V377" s="592">
        <f>STDEV(ID!E15:F15)</f>
        <v>0</v>
      </c>
      <c r="W377" s="593">
        <f>VLOOKUP(S373,Y225:Z244,2,(FALSE))</f>
        <v>0.5</v>
      </c>
      <c r="Z377" s="489"/>
    </row>
    <row r="378" spans="1:31" ht="13" x14ac:dyDescent="0.3">
      <c r="A378" s="205">
        <f>VLOOKUP($A$373,$B$268:$G$287,2,FALSE)</f>
        <v>25</v>
      </c>
      <c r="B378" s="205">
        <f>VLOOKUP($A$373,$B$268:$G$287,3,FALSE)</f>
        <v>-0.1</v>
      </c>
      <c r="C378" s="205">
        <f>VLOOKUP($A$373,$B$268:$G$287,4,FALSE)</f>
        <v>-0.1</v>
      </c>
      <c r="D378" s="205" t="str">
        <f>VLOOKUP($A$373,$B$268:$G$287,5,FALSE)</f>
        <v>-</v>
      </c>
      <c r="E378" s="205">
        <f>VLOOKUP($A$373,$B$268:$G$287,6,FALSE)</f>
        <v>0</v>
      </c>
      <c r="G378" s="205">
        <f>VLOOKUP($G$373,$J$268:$O$287,2,FALSE)</f>
        <v>60</v>
      </c>
      <c r="H378" s="205">
        <f>VLOOKUP($G$373,$J$268:$O$287,3,FALSE)</f>
        <v>0.3</v>
      </c>
      <c r="I378" s="205">
        <f>VLOOKUP($G$373,$J$268:$O$287,4,FALSE)</f>
        <v>-0.6</v>
      </c>
      <c r="J378" s="205" t="str">
        <f>VLOOKUP($G$373,$J$268:$O$287,5,FALSE)</f>
        <v>-</v>
      </c>
      <c r="K378" s="205">
        <f>VLOOKUP($G$373,$J$268:$O$287,6,FALSE)</f>
        <v>0.44999999999999996</v>
      </c>
      <c r="M378" s="205">
        <f>VLOOKUP($M$373,$R$268:$W$287,2,FALSE)</f>
        <v>995</v>
      </c>
      <c r="N378" s="205">
        <f>VLOOKUP($M$373,$R$268:$W$287,3,FALSE)</f>
        <v>3.8</v>
      </c>
      <c r="O378" s="205">
        <f>VLOOKUP($M$373,$R$268:$W$287,4,FALSE)</f>
        <v>1</v>
      </c>
      <c r="P378" s="205" t="str">
        <f>VLOOKUP($M$373,$R$268:$W$287,5,FALSE)</f>
        <v>-</v>
      </c>
      <c r="Q378" s="205">
        <f>VLOOKUP($M$373,$R$268:$W$287,6,FALSE)</f>
        <v>1.4</v>
      </c>
      <c r="S378" s="591" t="s">
        <v>19</v>
      </c>
      <c r="T378" s="592">
        <f>AVERAGE(ID!E16:F16)</f>
        <v>56.45</v>
      </c>
      <c r="U378" s="577">
        <f>T378+T386</f>
        <v>56.646369680851066</v>
      </c>
      <c r="V378" s="592">
        <f>STDEV(ID!E16:F16)</f>
        <v>0.35355339059327379</v>
      </c>
      <c r="W378" s="593">
        <f>VLOOKUP(S373,Y249:Z268,2,(FALSE))</f>
        <v>2.7</v>
      </c>
      <c r="Z378" s="489"/>
    </row>
    <row r="379" spans="1:31" ht="13.5" thickBot="1" x14ac:dyDescent="0.35">
      <c r="A379" s="205">
        <f>VLOOKUP($A$373,$B$289:$G$308,2,FALSE)</f>
        <v>30</v>
      </c>
      <c r="B379" s="205">
        <f>VLOOKUP($A$373,$B$289:$G$308,3,FALSE)</f>
        <v>-0.4</v>
      </c>
      <c r="C379" s="205">
        <f>VLOOKUP($A$373,$B$289:$G$308,4,FALSE)</f>
        <v>-0.3</v>
      </c>
      <c r="D379" s="205" t="str">
        <f>VLOOKUP($A$373,$B$289:$G$308,5,FALSE)</f>
        <v>-</v>
      </c>
      <c r="E379" s="205">
        <f>VLOOKUP($A$373,$B$289:$G$308,6,FALSE)</f>
        <v>5.0000000000000017E-2</v>
      </c>
      <c r="G379" s="205">
        <f>VLOOKUP($G$373,$J$289:$O$308,2,FALSE)</f>
        <v>60</v>
      </c>
      <c r="H379" s="205">
        <f>VLOOKUP($G$373,$J$289:$O$308,3,FALSE)</f>
        <v>0.3</v>
      </c>
      <c r="I379" s="205">
        <f>VLOOKUP($G$373,$J$289:$O$308,4,FALSE)</f>
        <v>-0.6</v>
      </c>
      <c r="J379" s="205" t="str">
        <f>VLOOKUP($G$373,$J$289:$O$308,5,FALSE)</f>
        <v>-</v>
      </c>
      <c r="K379" s="205">
        <f>VLOOKUP($G$373,$J$289:$O$308,6,FALSE)</f>
        <v>0.44999999999999996</v>
      </c>
      <c r="M379" s="205">
        <f>VLOOKUP($M$373,$R$289:$W$308,2,FALSE)</f>
        <v>1000</v>
      </c>
      <c r="N379" s="205">
        <f>VLOOKUP($M$373,$R$289:$W$308,3,FALSE)</f>
        <v>3.8</v>
      </c>
      <c r="O379" s="205">
        <f>VLOOKUP($M$373,$R$289:$W$308,4,FALSE)</f>
        <v>1.1000000000000001</v>
      </c>
      <c r="P379" s="205" t="str">
        <f>VLOOKUP($M$373,$R$289:$W$308,5,FALSE)</f>
        <v>-</v>
      </c>
      <c r="Q379" s="205">
        <f>VLOOKUP($M$373,$R$289:$W$308,6,FALSE)</f>
        <v>1.3499999999999999</v>
      </c>
      <c r="S379" s="594" t="s">
        <v>179</v>
      </c>
      <c r="T379" s="612">
        <v>9.9999999999999995E-7</v>
      </c>
      <c r="U379" s="577">
        <f>T379+U386</f>
        <v>91.531126448688511</v>
      </c>
      <c r="V379" s="595"/>
      <c r="W379" s="596">
        <f>VLOOKUP(S373,Y273:Z292,2,(FALSE))</f>
        <v>2.4</v>
      </c>
      <c r="Z379" s="489"/>
      <c r="AE379" s="597"/>
    </row>
    <row r="380" spans="1:31" ht="13.5" thickBot="1" x14ac:dyDescent="0.35">
      <c r="A380" s="205">
        <f>VLOOKUP($A$373,$B$310:$G$329,2,FALSE)</f>
        <v>35</v>
      </c>
      <c r="B380" s="205">
        <f>VLOOKUP($A$373,$B$310:$G$329,3,FALSE)</f>
        <v>-0.6</v>
      </c>
      <c r="C380" s="205">
        <f>VLOOKUP($A$373,$B$310:$G$329,4,FALSE)</f>
        <v>-0.6</v>
      </c>
      <c r="D380" s="205" t="str">
        <f>VLOOKUP($A$373,$B$310:$G$329,5,FALSE)</f>
        <v>-</v>
      </c>
      <c r="E380" s="205">
        <f>VLOOKUP($A$373,$B$310:$G$329,6,FALSE)</f>
        <v>0</v>
      </c>
      <c r="G380" s="205">
        <f>VLOOKUP($G$373,$J$310:$O$329,2,FALSE)</f>
        <v>70</v>
      </c>
      <c r="H380" s="205">
        <f>VLOOKUP($G$373,$J$310:$O$329,3,FALSE)</f>
        <v>0.7</v>
      </c>
      <c r="I380" s="205">
        <f>VLOOKUP($G$373,$J$310:$O$329,4,FALSE)</f>
        <v>-0.8</v>
      </c>
      <c r="J380" s="205" t="str">
        <f>VLOOKUP($G$373,$J$310:$O$329,5,FALSE)</f>
        <v>-</v>
      </c>
      <c r="K380" s="205">
        <f>VLOOKUP($G$373,$J$310:$O$329,6,FALSE)</f>
        <v>0.75</v>
      </c>
      <c r="M380" s="205">
        <f>VLOOKUP($M$373,$R$310:$W$329,2,FALSE)</f>
        <v>1005</v>
      </c>
      <c r="N380" s="205">
        <f>VLOOKUP($M$373,$R$310:$W$329,3,FALSE)</f>
        <v>3.8</v>
      </c>
      <c r="O380" s="205">
        <f>VLOOKUP($M$373,$R$310:$W$329,4,FALSE)</f>
        <v>1.1000000000000001</v>
      </c>
      <c r="P380" s="205" t="str">
        <f>VLOOKUP($M$373,$R$310:$W$329,5,FALSE)</f>
        <v>-</v>
      </c>
      <c r="Q380" s="205">
        <f>VLOOKUP($M$373,$R$310:$W$329,6,FALSE)</f>
        <v>1.3499999999999999</v>
      </c>
      <c r="S380" s="561"/>
      <c r="W380" s="561"/>
      <c r="Z380" s="489"/>
      <c r="AE380" s="598"/>
    </row>
    <row r="381" spans="1:31" ht="14" x14ac:dyDescent="0.3">
      <c r="A381" s="205">
        <f>VLOOKUP($A$373,$B$331:$G$350,2,FALSE)</f>
        <v>37</v>
      </c>
      <c r="B381" s="205">
        <f>VLOOKUP($A$373,$B$331:$G$350,3,FALSE)</f>
        <v>-0.7</v>
      </c>
      <c r="C381" s="205">
        <f>VLOOKUP($A$373,$B$331:$G$350,4,FALSE)</f>
        <v>-0.8</v>
      </c>
      <c r="D381" s="205" t="str">
        <f>VLOOKUP($A$373,$B$331:$G$350,5,FALSE)</f>
        <v>-</v>
      </c>
      <c r="E381" s="205">
        <f>VLOOKUP($A$373,$B$331:$G$350,6,FALSE)</f>
        <v>5.0000000000000044E-2</v>
      </c>
      <c r="G381" s="205">
        <f>VLOOKUP($G$373,$J$331:$O$350,2,FALSE)</f>
        <v>80</v>
      </c>
      <c r="H381" s="205">
        <f>VLOOKUP($G$373,$J$331:$O$350,3,FALSE)</f>
        <v>1.1000000000000001</v>
      </c>
      <c r="I381" s="205">
        <f>VLOOKUP($G$373,$J$331:$O$350,4,FALSE)</f>
        <v>-0.9</v>
      </c>
      <c r="J381" s="205" t="str">
        <f>VLOOKUP($G$373,$J$331:$O$350,5,FALSE)</f>
        <v>-</v>
      </c>
      <c r="K381" s="205">
        <f>VLOOKUP($G$373,$J$331:$O$350,6,FALSE)</f>
        <v>1</v>
      </c>
      <c r="M381" s="205">
        <f>VLOOKUP($M$373,$R$331:$W$350,2,FALSE)</f>
        <v>1010</v>
      </c>
      <c r="N381" s="205">
        <f>VLOOKUP($M$373,$R$331:$W$350,3,FALSE)</f>
        <v>3.7</v>
      </c>
      <c r="O381" s="205">
        <f>VLOOKUP($M$373,$R$331:$W$350,4,FALSE)</f>
        <v>1.1000000000000001</v>
      </c>
      <c r="P381" s="205" t="str">
        <f>VLOOKUP($M$373,$R$331:$W$350,5,FALSE)</f>
        <v>-</v>
      </c>
      <c r="Q381" s="205">
        <f>VLOOKUP($M$373,$R$331:$W$350,6,FALSE)</f>
        <v>1.3</v>
      </c>
      <c r="S381" s="989" t="s">
        <v>203</v>
      </c>
      <c r="T381" s="599" t="str">
        <f>N393&amp;N390&amp;O393&amp;O390&amp;P393&amp;P390</f>
        <v>( 24.3 ± 0.5 ) °C</v>
      </c>
      <c r="U381" s="600"/>
      <c r="Z381" s="489"/>
      <c r="AE381" s="601"/>
    </row>
    <row r="382" spans="1:31" ht="14" x14ac:dyDescent="0.3">
      <c r="A382" s="205">
        <f>VLOOKUP($A$373,$B$352:$G$371,2,FALSE)</f>
        <v>40</v>
      </c>
      <c r="B382" s="205">
        <f>VLOOKUP($A$373,$B$352:$G$371,3,FALSE)</f>
        <v>-0.8</v>
      </c>
      <c r="C382" s="205">
        <f>VLOOKUP($A$373,$B$352:$G$371,4,FALSE)</f>
        <v>-1.1000000000000001</v>
      </c>
      <c r="D382" s="205" t="str">
        <f>VLOOKUP($A$373,$B$352:$G$371,5,FALSE)</f>
        <v>-</v>
      </c>
      <c r="E382" s="205">
        <f>VLOOKUP($A$373,$B$352:$G$371,6,FALSE)</f>
        <v>0.15000000000000002</v>
      </c>
      <c r="G382" s="205">
        <f>VLOOKUP($G$373,$J$352:$O$371,2,FALSE)</f>
        <v>90</v>
      </c>
      <c r="H382" s="205">
        <f>VLOOKUP($G$373,$J$352:$O$371,3,FALSE)</f>
        <v>1.5</v>
      </c>
      <c r="I382" s="205">
        <f>VLOOKUP($G$373,$J$352:$O$371,4,FALSE)</f>
        <v>-0.8</v>
      </c>
      <c r="J382" s="205" t="str">
        <f>VLOOKUP($G$373,$J$352:$O$371,5,FALSE)</f>
        <v>-</v>
      </c>
      <c r="K382" s="205">
        <f>VLOOKUP($G$373,$J$352:$O$371,6,FALSE)</f>
        <v>1.1499999999999999</v>
      </c>
      <c r="M382" s="205">
        <f>VLOOKUP($M$373,$R$352:$W$371,2,FALSE)</f>
        <v>1020</v>
      </c>
      <c r="N382" s="205">
        <f>VLOOKUP($M$373,$R$352:$W$371,3,FALSE)</f>
        <v>9.9999999999999995E-7</v>
      </c>
      <c r="O382" s="205">
        <f>VLOOKUP($M$373,$R$352:$W$371,4,FALSE)</f>
        <v>9.9999999999999995E-7</v>
      </c>
      <c r="P382" s="205" t="str">
        <f>VLOOKUP($M$373,$R$352:$W$371,5,FALSE)</f>
        <v>-</v>
      </c>
      <c r="Q382" s="205">
        <f>VLOOKUP($M$373,$R$352:$W$371,6,FALSE)</f>
        <v>0</v>
      </c>
      <c r="S382" s="990"/>
      <c r="T382" s="602" t="str">
        <f>N393&amp;N391&amp;O393&amp;O391&amp;P393&amp;P391</f>
        <v>( 56.6 ± 2.7 ) %RH</v>
      </c>
      <c r="U382" s="603"/>
      <c r="Z382" s="489"/>
      <c r="AE382" s="601"/>
    </row>
    <row r="383" spans="1:31" ht="14.5" thickBot="1" x14ac:dyDescent="0.35">
      <c r="A383" s="604"/>
      <c r="B383" s="489"/>
      <c r="C383" s="489"/>
      <c r="D383" s="489"/>
      <c r="E383" s="489"/>
      <c r="G383" s="489"/>
      <c r="H383" s="489"/>
      <c r="I383" s="489"/>
      <c r="J383" s="489"/>
      <c r="M383" s="489"/>
      <c r="N383" s="489"/>
      <c r="O383" s="489"/>
      <c r="P383" s="489"/>
      <c r="S383" s="991"/>
      <c r="T383" s="605" t="str">
        <f>N393&amp;N392&amp;O393&amp;O392&amp;P393&amp;P392</f>
        <v>( 91.5 ± 2.4 ) hPa</v>
      </c>
      <c r="U383" s="606"/>
      <c r="Z383" s="489"/>
      <c r="AE383" s="601"/>
    </row>
    <row r="385" spans="1:21" ht="25" x14ac:dyDescent="0.25">
      <c r="S385" s="524" t="s">
        <v>391</v>
      </c>
      <c r="T385" s="524" t="s">
        <v>392</v>
      </c>
      <c r="U385" s="524" t="s">
        <v>393</v>
      </c>
    </row>
    <row r="386" spans="1:21" x14ac:dyDescent="0.25">
      <c r="S386" s="524">
        <f>_xlfn.FORECAST.LINEAR(T377,B376:B382,A376:A382)</f>
        <v>-3.181187569367383E-2</v>
      </c>
      <c r="T386" s="524">
        <f>_xlfn.FORECAST.LINEAR(T378,H376:H382,G376:G382)</f>
        <v>0.19636968085106377</v>
      </c>
      <c r="U386" s="524">
        <f>_xlfn.FORECAST.LINEAR(T379,N376:N382,M376:M382)</f>
        <v>91.531125448688513</v>
      </c>
    </row>
    <row r="388" spans="1:21" ht="13" thickBot="1" x14ac:dyDescent="0.3"/>
    <row r="389" spans="1:21" ht="13" x14ac:dyDescent="0.25">
      <c r="A389" s="992" t="str">
        <f>ID!B57</f>
        <v>Thermohygrolight, Merek : EXTECH, Model : SD700, SN : A.100609</v>
      </c>
      <c r="B389" s="992"/>
      <c r="C389" s="992"/>
      <c r="D389" s="992"/>
      <c r="E389" s="992"/>
      <c r="F389" s="992"/>
      <c r="G389" s="992"/>
      <c r="H389" s="992"/>
      <c r="I389" s="992"/>
      <c r="J389" s="992"/>
      <c r="K389" s="992"/>
      <c r="L389" s="992"/>
      <c r="N389" s="993" t="s">
        <v>204</v>
      </c>
      <c r="O389" s="994"/>
      <c r="P389" s="995"/>
    </row>
    <row r="390" spans="1:21" ht="15.5" x14ac:dyDescent="0.25">
      <c r="A390" s="607" t="s">
        <v>394</v>
      </c>
      <c r="B390" s="58"/>
      <c r="C390" s="58"/>
      <c r="D390" s="607"/>
      <c r="E390" s="607"/>
      <c r="F390" s="607"/>
      <c r="G390" s="607"/>
      <c r="H390" s="607"/>
      <c r="I390" s="608">
        <f>D4</f>
        <v>2020</v>
      </c>
      <c r="J390" s="608">
        <f>E4</f>
        <v>2017</v>
      </c>
      <c r="K390" s="608" t="str">
        <f>F4</f>
        <v>-</v>
      </c>
      <c r="L390" s="608">
        <v>1</v>
      </c>
      <c r="N390" s="609" t="str">
        <f>TEXT(U377,"0.0")</f>
        <v>24.3</v>
      </c>
      <c r="O390" s="202" t="str">
        <f>TEXT(W377,"0.0")</f>
        <v>0.5</v>
      </c>
      <c r="P390" s="487" t="s">
        <v>205</v>
      </c>
    </row>
    <row r="391" spans="1:21" ht="15.5" x14ac:dyDescent="0.25">
      <c r="A391" s="607" t="s">
        <v>395</v>
      </c>
      <c r="B391" s="58"/>
      <c r="C391" s="58"/>
      <c r="D391" s="607"/>
      <c r="E391" s="607"/>
      <c r="F391" s="607"/>
      <c r="G391" s="607"/>
      <c r="H391" s="607"/>
      <c r="I391" s="608">
        <f>D15</f>
        <v>2021</v>
      </c>
      <c r="J391" s="608">
        <f>E15</f>
        <v>2018</v>
      </c>
      <c r="K391" s="608" t="str">
        <f>F15</f>
        <v>-</v>
      </c>
      <c r="L391" s="608">
        <v>2</v>
      </c>
      <c r="N391" s="486" t="str">
        <f>TEXT(U378,"0.0")</f>
        <v>56.6</v>
      </c>
      <c r="O391" s="202" t="str">
        <f>TEXT(W378,"0.0")</f>
        <v>2.7</v>
      </c>
      <c r="P391" s="487" t="s">
        <v>206</v>
      </c>
    </row>
    <row r="392" spans="1:21" ht="15.5" x14ac:dyDescent="0.25">
      <c r="A392" s="607" t="s">
        <v>207</v>
      </c>
      <c r="B392" s="58"/>
      <c r="C392" s="58"/>
      <c r="D392" s="607"/>
      <c r="E392" s="607"/>
      <c r="F392" s="607"/>
      <c r="G392" s="607"/>
      <c r="H392" s="607"/>
      <c r="I392" s="608">
        <f>D26</f>
        <v>2021</v>
      </c>
      <c r="J392" s="608">
        <f>E26</f>
        <v>2018</v>
      </c>
      <c r="K392" s="608" t="str">
        <f>F26</f>
        <v>-</v>
      </c>
      <c r="L392" s="608">
        <v>3</v>
      </c>
      <c r="N392" s="486" t="str">
        <f>TEXT(U379,"0.0")</f>
        <v>91.5</v>
      </c>
      <c r="O392" s="202" t="str">
        <f>TEXT(W379,"0.0")</f>
        <v>2.4</v>
      </c>
      <c r="P392" s="610" t="s">
        <v>208</v>
      </c>
    </row>
    <row r="393" spans="1:21" ht="16" thickBot="1" x14ac:dyDescent="0.35">
      <c r="A393" s="607" t="s">
        <v>396</v>
      </c>
      <c r="B393" s="58"/>
      <c r="C393" s="58"/>
      <c r="D393" s="607"/>
      <c r="E393" s="607"/>
      <c r="F393" s="607"/>
      <c r="G393" s="607"/>
      <c r="H393" s="607"/>
      <c r="I393" s="608">
        <f>D37</f>
        <v>2019</v>
      </c>
      <c r="J393" s="608">
        <f>E37</f>
        <v>2017</v>
      </c>
      <c r="K393" s="608" t="str">
        <f>F37</f>
        <v>-</v>
      </c>
      <c r="L393" s="608">
        <v>4</v>
      </c>
      <c r="N393" s="488" t="s">
        <v>209</v>
      </c>
      <c r="O393" s="195" t="s">
        <v>210</v>
      </c>
      <c r="P393" s="342" t="s">
        <v>211</v>
      </c>
    </row>
    <row r="394" spans="1:21" ht="13" x14ac:dyDescent="0.25">
      <c r="A394" s="607" t="s">
        <v>397</v>
      </c>
      <c r="B394" s="58"/>
      <c r="C394" s="58"/>
      <c r="D394" s="607"/>
      <c r="E394" s="607"/>
      <c r="F394" s="607"/>
      <c r="G394" s="607"/>
      <c r="H394" s="607"/>
      <c r="I394" s="608">
        <f>D48</f>
        <v>2020</v>
      </c>
      <c r="J394" s="608">
        <f>E48</f>
        <v>2017</v>
      </c>
      <c r="K394" s="608" t="str">
        <f>F48</f>
        <v>-</v>
      </c>
      <c r="L394" s="608">
        <v>5</v>
      </c>
    </row>
    <row r="395" spans="1:21" ht="13" x14ac:dyDescent="0.25">
      <c r="A395" s="607" t="s">
        <v>212</v>
      </c>
      <c r="B395" s="58"/>
      <c r="C395" s="58"/>
      <c r="D395" s="607"/>
      <c r="E395" s="607"/>
      <c r="F395" s="607"/>
      <c r="G395" s="607"/>
      <c r="H395" s="607"/>
      <c r="I395" s="608">
        <f>D59</f>
        <v>2019</v>
      </c>
      <c r="J395" s="608">
        <f>E59</f>
        <v>2018</v>
      </c>
      <c r="K395" s="608" t="str">
        <f>F59</f>
        <v>-</v>
      </c>
      <c r="L395" s="608">
        <v>6</v>
      </c>
    </row>
    <row r="396" spans="1:21" ht="13" x14ac:dyDescent="0.25">
      <c r="A396" s="607" t="s">
        <v>213</v>
      </c>
      <c r="B396" s="58"/>
      <c r="C396" s="58"/>
      <c r="D396" s="607"/>
      <c r="E396" s="607"/>
      <c r="F396" s="607"/>
      <c r="G396" s="607"/>
      <c r="H396" s="607"/>
      <c r="I396" s="608">
        <f>D70</f>
        <v>2021</v>
      </c>
      <c r="J396" s="608">
        <f>E70</f>
        <v>2018</v>
      </c>
      <c r="K396" s="608" t="str">
        <f>F70</f>
        <v>-</v>
      </c>
      <c r="L396" s="608">
        <v>7</v>
      </c>
    </row>
    <row r="397" spans="1:21" ht="13" x14ac:dyDescent="0.25">
      <c r="A397" s="607" t="s">
        <v>214</v>
      </c>
      <c r="B397" s="58"/>
      <c r="C397" s="58"/>
      <c r="D397" s="607"/>
      <c r="E397" s="607"/>
      <c r="F397" s="607"/>
      <c r="G397" s="607"/>
      <c r="H397" s="607"/>
      <c r="I397" s="608">
        <f>D81</f>
        <v>2021</v>
      </c>
      <c r="J397" s="608">
        <f>E81</f>
        <v>2019</v>
      </c>
      <c r="K397" s="608" t="str">
        <f>F81</f>
        <v>-</v>
      </c>
      <c r="L397" s="608">
        <v>8</v>
      </c>
    </row>
    <row r="398" spans="1:21" ht="13" x14ac:dyDescent="0.25">
      <c r="A398" s="607" t="s">
        <v>215</v>
      </c>
      <c r="B398" s="58"/>
      <c r="C398" s="58"/>
      <c r="D398" s="607"/>
      <c r="E398" s="607"/>
      <c r="F398" s="607"/>
      <c r="G398" s="607"/>
      <c r="H398" s="607"/>
      <c r="I398" s="608">
        <f>D92</f>
        <v>2019</v>
      </c>
      <c r="J398" s="608" t="str">
        <f>E92</f>
        <v>-</v>
      </c>
      <c r="K398" s="608" t="str">
        <f>F92</f>
        <v>-</v>
      </c>
      <c r="L398" s="608">
        <v>9</v>
      </c>
    </row>
    <row r="399" spans="1:21" ht="13" x14ac:dyDescent="0.25">
      <c r="A399" s="607" t="s">
        <v>216</v>
      </c>
      <c r="B399" s="58"/>
      <c r="C399" s="58"/>
      <c r="D399" s="607"/>
      <c r="E399" s="607"/>
      <c r="F399" s="607"/>
      <c r="G399" s="607"/>
      <c r="H399" s="607"/>
      <c r="I399" s="608">
        <f>D103</f>
        <v>2022</v>
      </c>
      <c r="J399" s="608">
        <f>E103</f>
        <v>2019</v>
      </c>
      <c r="K399" s="608">
        <f>F103</f>
        <v>2016</v>
      </c>
      <c r="L399" s="608">
        <v>10</v>
      </c>
    </row>
    <row r="400" spans="1:21" ht="13" x14ac:dyDescent="0.25">
      <c r="A400" s="607" t="s">
        <v>217</v>
      </c>
      <c r="B400" s="58"/>
      <c r="C400" s="58"/>
      <c r="D400" s="607"/>
      <c r="E400" s="607"/>
      <c r="F400" s="607"/>
      <c r="G400" s="607"/>
      <c r="H400" s="607"/>
      <c r="I400" s="608">
        <f>D114</f>
        <v>2022</v>
      </c>
      <c r="J400" s="608">
        <f>E114</f>
        <v>2020</v>
      </c>
      <c r="K400" s="608">
        <f>F114</f>
        <v>2016</v>
      </c>
      <c r="L400" s="608">
        <v>11</v>
      </c>
    </row>
    <row r="401" spans="1:12" ht="13" x14ac:dyDescent="0.25">
      <c r="A401" s="607" t="s">
        <v>218</v>
      </c>
      <c r="B401" s="58"/>
      <c r="C401" s="58"/>
      <c r="D401" s="607"/>
      <c r="E401" s="607"/>
      <c r="F401" s="607"/>
      <c r="G401" s="607"/>
      <c r="H401" s="607"/>
      <c r="I401" s="608">
        <f>D125</f>
        <v>2020</v>
      </c>
      <c r="J401" s="608" t="str">
        <f>E125</f>
        <v>-</v>
      </c>
      <c r="K401" s="608" t="str">
        <f>F125</f>
        <v>-</v>
      </c>
      <c r="L401" s="608">
        <v>12</v>
      </c>
    </row>
    <row r="402" spans="1:12" ht="13" x14ac:dyDescent="0.25">
      <c r="A402" s="607" t="s">
        <v>219</v>
      </c>
      <c r="B402" s="58"/>
      <c r="C402" s="58"/>
      <c r="D402" s="607"/>
      <c r="E402" s="607"/>
      <c r="F402" s="607"/>
      <c r="G402" s="607"/>
      <c r="H402" s="607"/>
      <c r="I402" s="608">
        <f>D136</f>
        <v>2022</v>
      </c>
      <c r="J402" s="608">
        <f>E136</f>
        <v>2020</v>
      </c>
      <c r="K402" s="608" t="str">
        <f>F136</f>
        <v>-</v>
      </c>
      <c r="L402" s="608">
        <v>13</v>
      </c>
    </row>
    <row r="403" spans="1:12" ht="13" x14ac:dyDescent="0.25">
      <c r="A403" s="607" t="s">
        <v>220</v>
      </c>
      <c r="B403" s="58"/>
      <c r="C403" s="58"/>
      <c r="D403" s="607"/>
      <c r="E403" s="607"/>
      <c r="F403" s="607"/>
      <c r="G403" s="607"/>
      <c r="H403" s="607"/>
      <c r="I403" s="608">
        <f>D147</f>
        <v>2022</v>
      </c>
      <c r="J403" s="608">
        <f>E147</f>
        <v>2020</v>
      </c>
      <c r="K403" s="608" t="str">
        <f>F147</f>
        <v>-</v>
      </c>
      <c r="L403" s="608">
        <v>14</v>
      </c>
    </row>
    <row r="404" spans="1:12" ht="13" x14ac:dyDescent="0.25">
      <c r="A404" s="607" t="s">
        <v>115</v>
      </c>
      <c r="B404" s="58"/>
      <c r="C404" s="58"/>
      <c r="D404" s="607"/>
      <c r="E404" s="607"/>
      <c r="F404" s="607"/>
      <c r="G404" s="607"/>
      <c r="H404" s="607"/>
      <c r="I404" s="608">
        <f>D158</f>
        <v>2022</v>
      </c>
      <c r="J404" s="608">
        <f>E158</f>
        <v>2020</v>
      </c>
      <c r="K404" s="608" t="str">
        <f>F158</f>
        <v>-</v>
      </c>
      <c r="L404" s="608">
        <v>15</v>
      </c>
    </row>
    <row r="405" spans="1:12" ht="13" x14ac:dyDescent="0.25">
      <c r="A405" s="607" t="s">
        <v>221</v>
      </c>
      <c r="B405" s="58"/>
      <c r="C405" s="58"/>
      <c r="D405" s="607"/>
      <c r="E405" s="607"/>
      <c r="F405" s="607"/>
      <c r="G405" s="607"/>
      <c r="H405" s="607"/>
      <c r="I405" s="608">
        <f>D169</f>
        <v>2020</v>
      </c>
      <c r="J405" s="608" t="str">
        <f>E169</f>
        <v>-</v>
      </c>
      <c r="K405" s="608" t="str">
        <f>F169</f>
        <v>-</v>
      </c>
      <c r="L405" s="608">
        <v>16</v>
      </c>
    </row>
    <row r="406" spans="1:12" ht="13" x14ac:dyDescent="0.25">
      <c r="A406" s="607" t="s">
        <v>222</v>
      </c>
      <c r="B406" s="58"/>
      <c r="C406" s="58"/>
      <c r="D406" s="607"/>
      <c r="E406" s="607"/>
      <c r="F406" s="607"/>
      <c r="G406" s="607"/>
      <c r="H406" s="607"/>
      <c r="I406" s="608">
        <f>D180</f>
        <v>2020</v>
      </c>
      <c r="J406" s="608" t="str">
        <f>E180</f>
        <v>-</v>
      </c>
      <c r="K406" s="608" t="str">
        <f>F180</f>
        <v>-</v>
      </c>
      <c r="L406" s="608">
        <v>17</v>
      </c>
    </row>
    <row r="407" spans="1:12" ht="13" x14ac:dyDescent="0.25">
      <c r="A407" s="607" t="s">
        <v>223</v>
      </c>
      <c r="B407" s="58"/>
      <c r="C407" s="58"/>
      <c r="D407" s="607"/>
      <c r="E407" s="607"/>
      <c r="F407" s="607"/>
      <c r="G407" s="607"/>
      <c r="H407" s="607"/>
      <c r="I407" s="608">
        <f>D191</f>
        <v>2020</v>
      </c>
      <c r="J407" s="608" t="str">
        <f>E191</f>
        <v>-</v>
      </c>
      <c r="K407" s="608" t="str">
        <f>F191</f>
        <v>-</v>
      </c>
      <c r="L407" s="608">
        <v>18</v>
      </c>
    </row>
    <row r="408" spans="1:12" ht="13" x14ac:dyDescent="0.25">
      <c r="A408" s="607" t="s">
        <v>398</v>
      </c>
      <c r="B408" s="58"/>
      <c r="C408" s="58"/>
      <c r="D408" s="607"/>
      <c r="E408" s="607"/>
      <c r="F408" s="607"/>
      <c r="G408" s="607"/>
      <c r="H408" s="607"/>
      <c r="I408" s="608">
        <v>2021</v>
      </c>
      <c r="J408" s="608" t="str">
        <f>E202</f>
        <v>-</v>
      </c>
      <c r="K408" s="608" t="str">
        <f>F202</f>
        <v>-</v>
      </c>
      <c r="L408" s="608">
        <v>19</v>
      </c>
    </row>
    <row r="409" spans="1:12" ht="13" x14ac:dyDescent="0.25">
      <c r="A409" s="611">
        <v>20</v>
      </c>
      <c r="B409" s="58"/>
      <c r="C409" s="58"/>
      <c r="D409" s="607"/>
      <c r="E409" s="607"/>
      <c r="F409" s="607"/>
      <c r="G409" s="607"/>
      <c r="H409" s="607"/>
      <c r="I409" s="608">
        <f>D213</f>
        <v>2017</v>
      </c>
      <c r="J409" s="608" t="str">
        <f>E213</f>
        <v>-</v>
      </c>
      <c r="K409" s="608" t="str">
        <f>F213</f>
        <v>-</v>
      </c>
      <c r="L409" s="608">
        <v>20</v>
      </c>
    </row>
    <row r="410" spans="1:12" ht="13" x14ac:dyDescent="0.25">
      <c r="A410" s="996">
        <f>VLOOKUP(A389,A390:L409,12,(FALSE))</f>
        <v>14</v>
      </c>
      <c r="B410" s="996"/>
      <c r="C410" s="996"/>
      <c r="D410" s="996"/>
      <c r="E410" s="996"/>
      <c r="F410" s="996"/>
      <c r="G410" s="996"/>
      <c r="H410" s="996"/>
      <c r="I410" s="996"/>
      <c r="J410" s="996"/>
      <c r="K410" s="996"/>
      <c r="L410" s="996"/>
    </row>
  </sheetData>
  <mergeCells count="403">
    <mergeCell ref="A167:A176"/>
    <mergeCell ref="A178:A187"/>
    <mergeCell ref="A189:A198"/>
    <mergeCell ref="A200:A209"/>
    <mergeCell ref="A123:A132"/>
    <mergeCell ref="B124:C124"/>
    <mergeCell ref="B125:C125"/>
    <mergeCell ref="A112:A121"/>
    <mergeCell ref="B113:C113"/>
    <mergeCell ref="B112:G112"/>
    <mergeCell ref="B123:G123"/>
    <mergeCell ref="A145:A154"/>
    <mergeCell ref="A156:A165"/>
    <mergeCell ref="B146:C146"/>
    <mergeCell ref="B168:C168"/>
    <mergeCell ref="B191:C191"/>
    <mergeCell ref="B147:C147"/>
    <mergeCell ref="B145:G145"/>
    <mergeCell ref="B169:C169"/>
    <mergeCell ref="B167:G167"/>
    <mergeCell ref="A134:A143"/>
    <mergeCell ref="B135:C135"/>
    <mergeCell ref="B190:C190"/>
    <mergeCell ref="B92:C92"/>
    <mergeCell ref="A101:A110"/>
    <mergeCell ref="B102:C102"/>
    <mergeCell ref="A90:A99"/>
    <mergeCell ref="B91:C91"/>
    <mergeCell ref="B103:C103"/>
    <mergeCell ref="B90:G90"/>
    <mergeCell ref="B101:G101"/>
    <mergeCell ref="B114:C114"/>
    <mergeCell ref="A79:A88"/>
    <mergeCell ref="B59:C59"/>
    <mergeCell ref="A68:A77"/>
    <mergeCell ref="B80:C80"/>
    <mergeCell ref="B81:C81"/>
    <mergeCell ref="B69:C69"/>
    <mergeCell ref="A57:A66"/>
    <mergeCell ref="B58:C58"/>
    <mergeCell ref="B57:G57"/>
    <mergeCell ref="B79:G79"/>
    <mergeCell ref="B26:C26"/>
    <mergeCell ref="A35:A44"/>
    <mergeCell ref="B47:C47"/>
    <mergeCell ref="B48:C48"/>
    <mergeCell ref="A24:A33"/>
    <mergeCell ref="B25:C25"/>
    <mergeCell ref="B46:G46"/>
    <mergeCell ref="B70:C70"/>
    <mergeCell ref="B68:G68"/>
    <mergeCell ref="B136:C136"/>
    <mergeCell ref="B134:G134"/>
    <mergeCell ref="I134:N134"/>
    <mergeCell ref="P134:U134"/>
    <mergeCell ref="A1:U1"/>
    <mergeCell ref="P3:Q3"/>
    <mergeCell ref="B4:C4"/>
    <mergeCell ref="A13:A22"/>
    <mergeCell ref="A2:A11"/>
    <mergeCell ref="B3:C3"/>
    <mergeCell ref="B14:C14"/>
    <mergeCell ref="B15:C15"/>
    <mergeCell ref="B36:C36"/>
    <mergeCell ref="B2:G2"/>
    <mergeCell ref="I2:N2"/>
    <mergeCell ref="P2:U2"/>
    <mergeCell ref="B13:G13"/>
    <mergeCell ref="I13:N13"/>
    <mergeCell ref="P13:U13"/>
    <mergeCell ref="B37:C37"/>
    <mergeCell ref="B24:G24"/>
    <mergeCell ref="I57:N57"/>
    <mergeCell ref="P57:U57"/>
    <mergeCell ref="A46:A55"/>
    <mergeCell ref="A211:A220"/>
    <mergeCell ref="B212:C212"/>
    <mergeCell ref="P212:Q212"/>
    <mergeCell ref="B213:C213"/>
    <mergeCell ref="B211:G211"/>
    <mergeCell ref="I211:N211"/>
    <mergeCell ref="P211:U211"/>
    <mergeCell ref="B201:C201"/>
    <mergeCell ref="P201:Q201"/>
    <mergeCell ref="B202:C202"/>
    <mergeCell ref="A226:A245"/>
    <mergeCell ref="J223:J225"/>
    <mergeCell ref="K223:N223"/>
    <mergeCell ref="Q223:Q225"/>
    <mergeCell ref="R223:R225"/>
    <mergeCell ref="S223:V223"/>
    <mergeCell ref="B221:U221"/>
    <mergeCell ref="A223:A225"/>
    <mergeCell ref="B223:B225"/>
    <mergeCell ref="C223:F223"/>
    <mergeCell ref="I223:I225"/>
    <mergeCell ref="A310:A329"/>
    <mergeCell ref="A331:A350"/>
    <mergeCell ref="A352:A371"/>
    <mergeCell ref="I331:I350"/>
    <mergeCell ref="A268:A287"/>
    <mergeCell ref="A289:A308"/>
    <mergeCell ref="A247:A266"/>
    <mergeCell ref="I247:I266"/>
    <mergeCell ref="Q247:Q266"/>
    <mergeCell ref="W2:X2"/>
    <mergeCell ref="D3:F3"/>
    <mergeCell ref="G3:G4"/>
    <mergeCell ref="I3:J3"/>
    <mergeCell ref="K3:M3"/>
    <mergeCell ref="N3:N4"/>
    <mergeCell ref="R3:T3"/>
    <mergeCell ref="U3:U4"/>
    <mergeCell ref="I4:J4"/>
    <mergeCell ref="P4:Q4"/>
    <mergeCell ref="W13:X13"/>
    <mergeCell ref="D14:F14"/>
    <mergeCell ref="G14:G15"/>
    <mergeCell ref="I14:J14"/>
    <mergeCell ref="K14:M14"/>
    <mergeCell ref="N14:N15"/>
    <mergeCell ref="R14:T14"/>
    <mergeCell ref="U14:U15"/>
    <mergeCell ref="I15:J15"/>
    <mergeCell ref="P15:Q15"/>
    <mergeCell ref="P14:Q14"/>
    <mergeCell ref="W24:X24"/>
    <mergeCell ref="D25:F25"/>
    <mergeCell ref="G25:G26"/>
    <mergeCell ref="I25:J25"/>
    <mergeCell ref="K25:M25"/>
    <mergeCell ref="N25:N26"/>
    <mergeCell ref="R25:T25"/>
    <mergeCell ref="U25:U26"/>
    <mergeCell ref="I26:J26"/>
    <mergeCell ref="P26:Q26"/>
    <mergeCell ref="P25:Q25"/>
    <mergeCell ref="I24:N24"/>
    <mergeCell ref="P24:U24"/>
    <mergeCell ref="W35:X35"/>
    <mergeCell ref="D36:F36"/>
    <mergeCell ref="G36:G37"/>
    <mergeCell ref="I36:J36"/>
    <mergeCell ref="K36:M36"/>
    <mergeCell ref="N36:N37"/>
    <mergeCell ref="R36:T36"/>
    <mergeCell ref="U36:U37"/>
    <mergeCell ref="I37:J37"/>
    <mergeCell ref="P37:Q37"/>
    <mergeCell ref="I35:N35"/>
    <mergeCell ref="P35:U35"/>
    <mergeCell ref="B35:G35"/>
    <mergeCell ref="P36:Q36"/>
    <mergeCell ref="W46:X46"/>
    <mergeCell ref="D47:F47"/>
    <mergeCell ref="G47:G48"/>
    <mergeCell ref="I47:J47"/>
    <mergeCell ref="K47:M47"/>
    <mergeCell ref="N47:N48"/>
    <mergeCell ref="R47:T47"/>
    <mergeCell ref="U47:U48"/>
    <mergeCell ref="I48:J48"/>
    <mergeCell ref="P48:Q48"/>
    <mergeCell ref="P47:Q47"/>
    <mergeCell ref="I46:N46"/>
    <mergeCell ref="P46:U46"/>
    <mergeCell ref="W57:X57"/>
    <mergeCell ref="D58:F58"/>
    <mergeCell ref="G58:G59"/>
    <mergeCell ref="I58:J58"/>
    <mergeCell ref="K58:M58"/>
    <mergeCell ref="N58:N59"/>
    <mergeCell ref="R58:T58"/>
    <mergeCell ref="U58:U59"/>
    <mergeCell ref="I59:J59"/>
    <mergeCell ref="P59:Q59"/>
    <mergeCell ref="P58:Q58"/>
    <mergeCell ref="W68:X68"/>
    <mergeCell ref="D69:F69"/>
    <mergeCell ref="G69:G70"/>
    <mergeCell ref="I69:J69"/>
    <mergeCell ref="K69:M69"/>
    <mergeCell ref="N69:N70"/>
    <mergeCell ref="R69:T69"/>
    <mergeCell ref="U69:U70"/>
    <mergeCell ref="I70:J70"/>
    <mergeCell ref="P70:Q70"/>
    <mergeCell ref="I68:N68"/>
    <mergeCell ref="P68:U68"/>
    <mergeCell ref="P69:Q69"/>
    <mergeCell ref="I79:N79"/>
    <mergeCell ref="P79:U79"/>
    <mergeCell ref="W79:X79"/>
    <mergeCell ref="D80:F80"/>
    <mergeCell ref="G80:G81"/>
    <mergeCell ref="I80:J80"/>
    <mergeCell ref="K80:M80"/>
    <mergeCell ref="N80:N81"/>
    <mergeCell ref="R80:T80"/>
    <mergeCell ref="U80:U81"/>
    <mergeCell ref="I81:J81"/>
    <mergeCell ref="P81:Q81"/>
    <mergeCell ref="P80:Q80"/>
    <mergeCell ref="W90:X90"/>
    <mergeCell ref="D91:F91"/>
    <mergeCell ref="G91:G92"/>
    <mergeCell ref="I91:J91"/>
    <mergeCell ref="K91:M91"/>
    <mergeCell ref="N91:N92"/>
    <mergeCell ref="R91:T91"/>
    <mergeCell ref="U91:U92"/>
    <mergeCell ref="I92:J92"/>
    <mergeCell ref="P92:Q92"/>
    <mergeCell ref="P91:Q91"/>
    <mergeCell ref="I90:N90"/>
    <mergeCell ref="P90:U90"/>
    <mergeCell ref="W101:X101"/>
    <mergeCell ref="D102:F102"/>
    <mergeCell ref="G102:G103"/>
    <mergeCell ref="I102:J102"/>
    <mergeCell ref="K102:M102"/>
    <mergeCell ref="N102:N103"/>
    <mergeCell ref="R102:T102"/>
    <mergeCell ref="U102:U103"/>
    <mergeCell ref="I103:J103"/>
    <mergeCell ref="P103:Q103"/>
    <mergeCell ref="P102:Q102"/>
    <mergeCell ref="I101:N101"/>
    <mergeCell ref="P101:U101"/>
    <mergeCell ref="W112:X112"/>
    <mergeCell ref="D113:F113"/>
    <mergeCell ref="G113:G114"/>
    <mergeCell ref="I113:J113"/>
    <mergeCell ref="K113:M113"/>
    <mergeCell ref="N113:N114"/>
    <mergeCell ref="R113:T113"/>
    <mergeCell ref="U113:U114"/>
    <mergeCell ref="I114:J114"/>
    <mergeCell ref="P114:Q114"/>
    <mergeCell ref="P113:Q113"/>
    <mergeCell ref="I112:N112"/>
    <mergeCell ref="P112:U112"/>
    <mergeCell ref="W123:X123"/>
    <mergeCell ref="D124:F124"/>
    <mergeCell ref="G124:G125"/>
    <mergeCell ref="I124:J124"/>
    <mergeCell ref="K124:M124"/>
    <mergeCell ref="N124:N125"/>
    <mergeCell ref="R124:T124"/>
    <mergeCell ref="U124:U125"/>
    <mergeCell ref="I125:J125"/>
    <mergeCell ref="P125:Q125"/>
    <mergeCell ref="P124:Q124"/>
    <mergeCell ref="I123:N123"/>
    <mergeCell ref="P123:U123"/>
    <mergeCell ref="W134:X134"/>
    <mergeCell ref="D135:F135"/>
    <mergeCell ref="G135:G136"/>
    <mergeCell ref="I135:J135"/>
    <mergeCell ref="K135:M135"/>
    <mergeCell ref="N135:N136"/>
    <mergeCell ref="R135:T135"/>
    <mergeCell ref="U135:U136"/>
    <mergeCell ref="I136:J136"/>
    <mergeCell ref="P136:Q136"/>
    <mergeCell ref="P135:Q135"/>
    <mergeCell ref="W145:X145"/>
    <mergeCell ref="D146:F146"/>
    <mergeCell ref="G146:G147"/>
    <mergeCell ref="I146:J146"/>
    <mergeCell ref="K146:M146"/>
    <mergeCell ref="N146:N147"/>
    <mergeCell ref="R146:T146"/>
    <mergeCell ref="U146:U147"/>
    <mergeCell ref="I147:J147"/>
    <mergeCell ref="P147:Q147"/>
    <mergeCell ref="P146:Q146"/>
    <mergeCell ref="I145:N145"/>
    <mergeCell ref="P145:U145"/>
    <mergeCell ref="W156:X156"/>
    <mergeCell ref="D157:F157"/>
    <mergeCell ref="G157:G158"/>
    <mergeCell ref="I157:J157"/>
    <mergeCell ref="K157:M157"/>
    <mergeCell ref="N157:N158"/>
    <mergeCell ref="R157:T157"/>
    <mergeCell ref="U157:U158"/>
    <mergeCell ref="I158:J158"/>
    <mergeCell ref="P158:Q158"/>
    <mergeCell ref="B156:G156"/>
    <mergeCell ref="I156:N156"/>
    <mergeCell ref="P156:U156"/>
    <mergeCell ref="B157:C157"/>
    <mergeCell ref="P157:Q157"/>
    <mergeCell ref="B158:C158"/>
    <mergeCell ref="W167:X167"/>
    <mergeCell ref="D168:F168"/>
    <mergeCell ref="G168:G169"/>
    <mergeCell ref="I168:J168"/>
    <mergeCell ref="K168:M168"/>
    <mergeCell ref="N168:N169"/>
    <mergeCell ref="R168:T168"/>
    <mergeCell ref="U168:U169"/>
    <mergeCell ref="I169:J169"/>
    <mergeCell ref="P169:Q169"/>
    <mergeCell ref="P168:Q168"/>
    <mergeCell ref="I167:N167"/>
    <mergeCell ref="P167:U167"/>
    <mergeCell ref="W178:X178"/>
    <mergeCell ref="D179:F179"/>
    <mergeCell ref="G179:G180"/>
    <mergeCell ref="I179:J179"/>
    <mergeCell ref="K179:M179"/>
    <mergeCell ref="N179:N180"/>
    <mergeCell ref="R179:T179"/>
    <mergeCell ref="U179:U180"/>
    <mergeCell ref="I180:J180"/>
    <mergeCell ref="P180:Q180"/>
    <mergeCell ref="B178:G178"/>
    <mergeCell ref="I178:N178"/>
    <mergeCell ref="P178:U178"/>
    <mergeCell ref="B179:C179"/>
    <mergeCell ref="P179:Q179"/>
    <mergeCell ref="B180:C180"/>
    <mergeCell ref="W189:X189"/>
    <mergeCell ref="D190:F190"/>
    <mergeCell ref="G190:G191"/>
    <mergeCell ref="I190:J190"/>
    <mergeCell ref="K190:M190"/>
    <mergeCell ref="N190:N191"/>
    <mergeCell ref="R190:T190"/>
    <mergeCell ref="U190:U191"/>
    <mergeCell ref="I191:J191"/>
    <mergeCell ref="P191:Q191"/>
    <mergeCell ref="P190:Q190"/>
    <mergeCell ref="B189:G189"/>
    <mergeCell ref="I189:N189"/>
    <mergeCell ref="P189:U189"/>
    <mergeCell ref="W200:X200"/>
    <mergeCell ref="D201:F201"/>
    <mergeCell ref="G201:G202"/>
    <mergeCell ref="I201:J201"/>
    <mergeCell ref="K201:M201"/>
    <mergeCell ref="N201:N202"/>
    <mergeCell ref="R201:T201"/>
    <mergeCell ref="U201:U202"/>
    <mergeCell ref="I202:J202"/>
    <mergeCell ref="P202:Q202"/>
    <mergeCell ref="B200:G200"/>
    <mergeCell ref="I200:N200"/>
    <mergeCell ref="P200:U200"/>
    <mergeCell ref="W211:X211"/>
    <mergeCell ref="D212:F212"/>
    <mergeCell ref="G212:G213"/>
    <mergeCell ref="I212:J212"/>
    <mergeCell ref="K212:M212"/>
    <mergeCell ref="N212:N213"/>
    <mergeCell ref="R212:T212"/>
    <mergeCell ref="U212:U213"/>
    <mergeCell ref="I213:J213"/>
    <mergeCell ref="P213:Q213"/>
    <mergeCell ref="Y223:Z223"/>
    <mergeCell ref="D224:F224"/>
    <mergeCell ref="G224:G225"/>
    <mergeCell ref="L224:N224"/>
    <mergeCell ref="O224:O225"/>
    <mergeCell ref="T224:V224"/>
    <mergeCell ref="W224:W225"/>
    <mergeCell ref="Y224:Z224"/>
    <mergeCell ref="I226:I245"/>
    <mergeCell ref="Q226:Q245"/>
    <mergeCell ref="Y247:Z247"/>
    <mergeCell ref="Y248:Z248"/>
    <mergeCell ref="I268:I287"/>
    <mergeCell ref="Q268:Q287"/>
    <mergeCell ref="Y271:Z271"/>
    <mergeCell ref="Y272:Z272"/>
    <mergeCell ref="I289:I308"/>
    <mergeCell ref="Q289:Q308"/>
    <mergeCell ref="I310:I329"/>
    <mergeCell ref="Q310:Q329"/>
    <mergeCell ref="T373:W373"/>
    <mergeCell ref="B374:D374"/>
    <mergeCell ref="E374:E375"/>
    <mergeCell ref="H374:J374"/>
    <mergeCell ref="K374:K375"/>
    <mergeCell ref="N374:P374"/>
    <mergeCell ref="Q374:Q375"/>
    <mergeCell ref="U374:U376"/>
    <mergeCell ref="V374:V376"/>
    <mergeCell ref="W374:W376"/>
    <mergeCell ref="S374:S376"/>
    <mergeCell ref="T374:T376"/>
    <mergeCell ref="S381:S383"/>
    <mergeCell ref="A389:L389"/>
    <mergeCell ref="N389:P389"/>
    <mergeCell ref="A410:L410"/>
    <mergeCell ref="Q331:Q350"/>
    <mergeCell ref="I352:I371"/>
    <mergeCell ref="Q352:Q371"/>
    <mergeCell ref="B373:E373"/>
    <mergeCell ref="H373:K373"/>
    <mergeCell ref="N373:Q37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DD661-25BE-4759-9232-9355F7A5A584}">
  <sheetPr>
    <tabColor rgb="FF00B050"/>
  </sheetPr>
  <dimension ref="A1:Y311"/>
  <sheetViews>
    <sheetView topLeftCell="A270" workbookViewId="0">
      <selection activeCell="M275" sqref="M275"/>
    </sheetView>
  </sheetViews>
  <sheetFormatPr defaultColWidth="8.7265625" defaultRowHeight="12.5" x14ac:dyDescent="0.25"/>
  <cols>
    <col min="1" max="1" width="10.26953125" style="451" bestFit="1" customWidth="1"/>
    <col min="2" max="2" width="10.26953125" style="451" customWidth="1"/>
    <col min="3" max="3" width="11" style="451" customWidth="1"/>
    <col min="4" max="4" width="9" style="451" bestFit="1" customWidth="1"/>
    <col min="5" max="5" width="10" style="451" customWidth="1"/>
    <col min="6" max="6" width="9.36328125" style="451" bestFit="1" customWidth="1"/>
    <col min="7" max="7" width="10.36328125" style="451" bestFit="1" customWidth="1"/>
    <col min="8" max="8" width="13.453125" style="451" customWidth="1"/>
    <col min="9" max="9" width="11.90625" style="451" customWidth="1"/>
    <col min="10" max="10" width="10.08984375" style="451" customWidth="1"/>
    <col min="11" max="11" width="9.453125" style="451" customWidth="1"/>
    <col min="12" max="12" width="9.54296875" style="451" customWidth="1"/>
    <col min="13" max="13" width="12.26953125" style="451" customWidth="1"/>
    <col min="14" max="14" width="8.7265625" style="451"/>
    <col min="15" max="15" width="10.54296875" style="451" customWidth="1"/>
    <col min="16" max="16" width="8.7265625" style="451"/>
    <col min="17" max="17" width="10.453125" style="451" customWidth="1"/>
    <col min="18" max="18" width="11.36328125" style="451" customWidth="1"/>
    <col min="19" max="19" width="9.81640625" style="451" customWidth="1"/>
    <col min="20" max="20" width="9.90625" style="451" customWidth="1"/>
    <col min="21" max="16384" width="8.7265625" style="451"/>
  </cols>
  <sheetData>
    <row r="1" spans="1:24" ht="17.5" x14ac:dyDescent="0.25">
      <c r="A1" s="1075" t="s">
        <v>224</v>
      </c>
      <c r="B1" s="1076"/>
      <c r="C1" s="1076"/>
      <c r="D1" s="1076"/>
      <c r="E1" s="1076"/>
      <c r="F1" s="1076"/>
      <c r="G1" s="1076"/>
      <c r="H1" s="1076"/>
      <c r="I1" s="1076"/>
      <c r="J1" s="1076"/>
      <c r="K1" s="1076"/>
      <c r="L1" s="1076"/>
      <c r="M1" s="1076"/>
      <c r="N1" s="1076"/>
      <c r="O1" s="1076"/>
      <c r="P1" s="1076"/>
      <c r="Q1" s="1076"/>
      <c r="R1" s="1076"/>
      <c r="S1" s="1076"/>
      <c r="T1" s="1076"/>
      <c r="U1" s="1076"/>
      <c r="V1" s="451" t="s">
        <v>94</v>
      </c>
    </row>
    <row r="2" spans="1:24" ht="14.5" x14ac:dyDescent="0.25">
      <c r="A2" s="1068" t="s">
        <v>225</v>
      </c>
      <c r="B2" s="1073" t="s">
        <v>226</v>
      </c>
      <c r="C2" s="1073"/>
      <c r="D2" s="1073"/>
      <c r="E2" s="1073"/>
      <c r="F2" s="1073"/>
      <c r="G2" s="1073"/>
      <c r="H2" s="1071" t="s">
        <v>227</v>
      </c>
      <c r="I2" s="1073" t="s">
        <v>228</v>
      </c>
      <c r="J2" s="1073"/>
      <c r="K2" s="1073"/>
      <c r="L2" s="1073"/>
      <c r="M2" s="1073"/>
      <c r="N2" s="1073"/>
      <c r="O2" s="1071" t="s">
        <v>229</v>
      </c>
      <c r="P2" s="1073" t="s">
        <v>230</v>
      </c>
      <c r="Q2" s="1073"/>
      <c r="R2" s="1073"/>
      <c r="S2" s="1073"/>
      <c r="T2" s="1073"/>
      <c r="U2" s="1073"/>
    </row>
    <row r="3" spans="1:24" ht="14" x14ac:dyDescent="0.3">
      <c r="A3" s="1068"/>
      <c r="B3" s="1074" t="s">
        <v>231</v>
      </c>
      <c r="C3" s="1074"/>
      <c r="D3" s="1074"/>
      <c r="E3" s="1074"/>
      <c r="F3" s="1074"/>
      <c r="G3" s="1074"/>
      <c r="H3" s="1071"/>
      <c r="I3" s="1074" t="s">
        <v>231</v>
      </c>
      <c r="J3" s="1074"/>
      <c r="K3" s="1074"/>
      <c r="L3" s="1074"/>
      <c r="M3" s="1074"/>
      <c r="N3" s="1074"/>
      <c r="O3" s="1071"/>
      <c r="P3" s="1074" t="s">
        <v>231</v>
      </c>
      <c r="Q3" s="1074"/>
      <c r="R3" s="1074"/>
      <c r="S3" s="1074"/>
      <c r="T3" s="1074"/>
      <c r="U3" s="1074"/>
    </row>
    <row r="4" spans="1:24" ht="13" x14ac:dyDescent="0.25">
      <c r="A4" s="1068"/>
      <c r="B4" s="1041" t="s">
        <v>232</v>
      </c>
      <c r="C4" s="1041"/>
      <c r="D4" s="1041"/>
      <c r="E4" s="1041"/>
      <c r="F4" s="1041" t="s">
        <v>233</v>
      </c>
      <c r="G4" s="1041" t="s">
        <v>173</v>
      </c>
      <c r="H4" s="1071"/>
      <c r="I4" s="1041" t="str">
        <f>B4</f>
        <v>Setting VAC</v>
      </c>
      <c r="J4" s="1041"/>
      <c r="K4" s="1041"/>
      <c r="L4" s="1041"/>
      <c r="M4" s="1041" t="s">
        <v>233</v>
      </c>
      <c r="N4" s="1041" t="s">
        <v>173</v>
      </c>
      <c r="O4" s="1071"/>
      <c r="P4" s="1041" t="str">
        <f>B4</f>
        <v>Setting VAC</v>
      </c>
      <c r="Q4" s="1041"/>
      <c r="R4" s="1041"/>
      <c r="S4" s="1041"/>
      <c r="T4" s="1041" t="s">
        <v>233</v>
      </c>
      <c r="U4" s="1041" t="s">
        <v>173</v>
      </c>
    </row>
    <row r="5" spans="1:24" ht="14" x14ac:dyDescent="0.25">
      <c r="A5" s="1068"/>
      <c r="B5" s="452" t="s">
        <v>234</v>
      </c>
      <c r="C5" s="615">
        <v>2022</v>
      </c>
      <c r="D5" s="615">
        <v>2020</v>
      </c>
      <c r="E5" s="615">
        <v>2019</v>
      </c>
      <c r="F5" s="1041"/>
      <c r="G5" s="1041"/>
      <c r="H5" s="1071"/>
      <c r="I5" s="452" t="s">
        <v>234</v>
      </c>
      <c r="J5" s="615">
        <v>2022</v>
      </c>
      <c r="K5" s="615">
        <v>2019</v>
      </c>
      <c r="L5" s="615">
        <v>2017</v>
      </c>
      <c r="M5" s="1041"/>
      <c r="N5" s="1041"/>
      <c r="O5" s="1071"/>
      <c r="P5" s="452" t="s">
        <v>234</v>
      </c>
      <c r="Q5" s="615">
        <v>2022</v>
      </c>
      <c r="R5" s="615">
        <v>2021</v>
      </c>
      <c r="S5" s="615">
        <v>2018</v>
      </c>
      <c r="T5" s="1041"/>
      <c r="U5" s="1041"/>
      <c r="V5" s="455"/>
      <c r="W5" s="455"/>
      <c r="X5" s="65"/>
    </row>
    <row r="6" spans="1:24" x14ac:dyDescent="0.25">
      <c r="A6" s="1068"/>
      <c r="B6" s="616">
        <v>150</v>
      </c>
      <c r="C6" s="523">
        <v>0.35</v>
      </c>
      <c r="D6" s="523">
        <v>0.31</v>
      </c>
      <c r="E6" s="523">
        <v>0.76</v>
      </c>
      <c r="F6" s="617">
        <f>0.5*(MAX(C6:E6)-MIN(C6:E6))</f>
        <v>0.22500000000000001</v>
      </c>
      <c r="G6" s="617">
        <f>1.2/100</f>
        <v>1.2E-2</v>
      </c>
      <c r="H6" s="1071"/>
      <c r="I6" s="616">
        <v>150</v>
      </c>
      <c r="J6" s="523">
        <v>0.22</v>
      </c>
      <c r="K6" s="523">
        <v>0.15</v>
      </c>
      <c r="L6" s="523">
        <v>0.23</v>
      </c>
      <c r="M6" s="617">
        <f>0.5*(MAX(J6:L6)-MIN(J6:L6))</f>
        <v>4.0000000000000008E-2</v>
      </c>
      <c r="N6" s="617">
        <f t="shared" ref="N6:N11" si="0">(1.2/100)*I6</f>
        <v>1.8</v>
      </c>
      <c r="O6" s="1071"/>
      <c r="P6" s="616">
        <v>150</v>
      </c>
      <c r="Q6" s="523">
        <v>-1.43</v>
      </c>
      <c r="R6" s="523">
        <v>-1.6</v>
      </c>
      <c r="S6" s="523">
        <v>-7.0000000000000007E-2</v>
      </c>
      <c r="T6" s="617">
        <f>0.5*(MAX(Q6:S6)-MIN(Q6:S6))</f>
        <v>0.76500000000000001</v>
      </c>
      <c r="U6" s="617">
        <f>(1.2/100)*P6</f>
        <v>1.8</v>
      </c>
      <c r="V6" s="167"/>
      <c r="W6" s="460"/>
      <c r="X6" s="65"/>
    </row>
    <row r="7" spans="1:24" x14ac:dyDescent="0.25">
      <c r="A7" s="1068"/>
      <c r="B7" s="616">
        <v>180</v>
      </c>
      <c r="C7" s="523">
        <v>-0.1</v>
      </c>
      <c r="D7" s="523">
        <v>0.1</v>
      </c>
      <c r="E7" s="523">
        <v>-0.03</v>
      </c>
      <c r="F7" s="617">
        <f t="shared" ref="F7:F11" si="1">0.5*(MAX(C7:E7)-MIN(C7:E7))</f>
        <v>0.1</v>
      </c>
      <c r="G7" s="617">
        <f t="shared" ref="G7:G11" si="2">(1.2/100)*B7</f>
        <v>2.16</v>
      </c>
      <c r="H7" s="1071"/>
      <c r="I7" s="616">
        <v>180</v>
      </c>
      <c r="J7" s="523">
        <v>0.1</v>
      </c>
      <c r="K7" s="523">
        <v>0.12</v>
      </c>
      <c r="L7" s="523">
        <v>-0.06</v>
      </c>
      <c r="M7" s="617">
        <f t="shared" ref="M7:M10" si="3">0.5*(MAX(J7:L7)-MIN(J7:L7))</f>
        <v>0.09</v>
      </c>
      <c r="N7" s="617">
        <f t="shared" si="0"/>
        <v>2.16</v>
      </c>
      <c r="O7" s="1071"/>
      <c r="P7" s="616">
        <v>180</v>
      </c>
      <c r="Q7" s="523">
        <v>-1.81</v>
      </c>
      <c r="R7" s="523">
        <v>-1.9</v>
      </c>
      <c r="S7" s="523">
        <v>-0.13</v>
      </c>
      <c r="T7" s="617">
        <f t="shared" ref="T7:T11" si="4">0.5*(MAX(Q7:S7)-MIN(Q7:S7))</f>
        <v>0.88500000000000001</v>
      </c>
      <c r="U7" s="617">
        <f t="shared" ref="U7:U11" si="5">(1.2/100)*P7</f>
        <v>2.16</v>
      </c>
      <c r="V7" s="167"/>
      <c r="W7" s="460"/>
      <c r="X7" s="65"/>
    </row>
    <row r="8" spans="1:24" x14ac:dyDescent="0.25">
      <c r="A8" s="1068"/>
      <c r="B8" s="543">
        <v>200</v>
      </c>
      <c r="C8" s="523">
        <v>-0.17</v>
      </c>
      <c r="D8" s="523">
        <v>-0.04</v>
      </c>
      <c r="E8" s="523">
        <v>-0.16</v>
      </c>
      <c r="F8" s="617">
        <f t="shared" si="1"/>
        <v>6.5000000000000002E-2</v>
      </c>
      <c r="G8" s="617">
        <f t="shared" si="2"/>
        <v>2.4</v>
      </c>
      <c r="H8" s="1071"/>
      <c r="I8" s="543">
        <v>200</v>
      </c>
      <c r="J8" s="523">
        <v>0.09</v>
      </c>
      <c r="K8" s="523">
        <v>0.06</v>
      </c>
      <c r="L8" s="523">
        <v>-0.18</v>
      </c>
      <c r="M8" s="617">
        <f t="shared" si="3"/>
        <v>0.13500000000000001</v>
      </c>
      <c r="N8" s="617">
        <f t="shared" si="0"/>
        <v>2.4</v>
      </c>
      <c r="O8" s="1071"/>
      <c r="P8" s="543">
        <v>200</v>
      </c>
      <c r="Q8" s="523">
        <v>-2.0499999999999998</v>
      </c>
      <c r="R8" s="523">
        <v>-2.14</v>
      </c>
      <c r="S8" s="523">
        <v>-0.26</v>
      </c>
      <c r="T8" s="617">
        <f t="shared" si="4"/>
        <v>0.94000000000000006</v>
      </c>
      <c r="U8" s="617">
        <f t="shared" si="5"/>
        <v>2.4</v>
      </c>
      <c r="V8" s="167"/>
      <c r="W8" s="460"/>
      <c r="X8" s="65"/>
    </row>
    <row r="9" spans="1:24" x14ac:dyDescent="0.25">
      <c r="A9" s="1068"/>
      <c r="B9" s="543">
        <v>220</v>
      </c>
      <c r="C9" s="523">
        <v>-0.27</v>
      </c>
      <c r="D9" s="523">
        <v>-0.28000000000000003</v>
      </c>
      <c r="E9" s="523">
        <v>-0.18</v>
      </c>
      <c r="F9" s="617">
        <f t="shared" si="1"/>
        <v>5.0000000000000017E-2</v>
      </c>
      <c r="G9" s="617">
        <f t="shared" si="2"/>
        <v>2.64</v>
      </c>
      <c r="H9" s="1071"/>
      <c r="I9" s="543">
        <v>220</v>
      </c>
      <c r="J9" s="523">
        <v>0.53</v>
      </c>
      <c r="K9" s="523">
        <v>0.05</v>
      </c>
      <c r="L9" s="523">
        <v>-0.03</v>
      </c>
      <c r="M9" s="617">
        <f t="shared" si="3"/>
        <v>0.28000000000000003</v>
      </c>
      <c r="N9" s="617">
        <f t="shared" si="0"/>
        <v>2.64</v>
      </c>
      <c r="O9" s="1071"/>
      <c r="P9" s="543">
        <v>220</v>
      </c>
      <c r="Q9" s="523">
        <v>-2.29</v>
      </c>
      <c r="R9" s="523">
        <v>-3.44</v>
      </c>
      <c r="S9" s="523">
        <v>-0.28999999999999998</v>
      </c>
      <c r="T9" s="617">
        <f t="shared" si="4"/>
        <v>1.575</v>
      </c>
      <c r="U9" s="617">
        <f t="shared" si="5"/>
        <v>2.64</v>
      </c>
      <c r="V9" s="167"/>
      <c r="W9" s="460"/>
      <c r="X9" s="65"/>
    </row>
    <row r="10" spans="1:24" x14ac:dyDescent="0.25">
      <c r="A10" s="1068"/>
      <c r="B10" s="543">
        <v>230</v>
      </c>
      <c r="C10" s="523">
        <v>0.64</v>
      </c>
      <c r="D10" s="523">
        <v>-0.2</v>
      </c>
      <c r="E10" s="523">
        <v>-0.26</v>
      </c>
      <c r="F10" s="617">
        <f t="shared" si="1"/>
        <v>0.45</v>
      </c>
      <c r="G10" s="617">
        <f t="shared" si="2"/>
        <v>2.7600000000000002</v>
      </c>
      <c r="H10" s="1071"/>
      <c r="I10" s="543">
        <v>230</v>
      </c>
      <c r="J10" s="523">
        <v>1.08</v>
      </c>
      <c r="K10" s="523">
        <v>9.9999999999999995E-7</v>
      </c>
      <c r="L10" s="523">
        <v>0.05</v>
      </c>
      <c r="M10" s="617">
        <f t="shared" si="3"/>
        <v>0.53999950000000008</v>
      </c>
      <c r="N10" s="617">
        <f t="shared" si="0"/>
        <v>2.7600000000000002</v>
      </c>
      <c r="O10" s="1071"/>
      <c r="P10" s="543">
        <v>230</v>
      </c>
      <c r="Q10" s="523">
        <v>-11.79</v>
      </c>
      <c r="R10" s="523">
        <v>-2.52</v>
      </c>
      <c r="S10" s="523">
        <v>-0.23</v>
      </c>
      <c r="T10" s="617">
        <f t="shared" si="4"/>
        <v>5.7799999999999994</v>
      </c>
      <c r="U10" s="617">
        <f t="shared" si="5"/>
        <v>2.7600000000000002</v>
      </c>
      <c r="V10" s="167"/>
      <c r="W10" s="460"/>
      <c r="X10" s="65"/>
    </row>
    <row r="11" spans="1:24" x14ac:dyDescent="0.25">
      <c r="A11" s="1068"/>
      <c r="B11" s="543">
        <v>250</v>
      </c>
      <c r="C11" s="523">
        <v>-0.36</v>
      </c>
      <c r="D11" s="523">
        <v>-0.32</v>
      </c>
      <c r="E11" s="523">
        <v>9.9999999999999995E-7</v>
      </c>
      <c r="F11" s="617">
        <f t="shared" si="1"/>
        <v>0.18000049999999998</v>
      </c>
      <c r="G11" s="617">
        <f t="shared" si="2"/>
        <v>3</v>
      </c>
      <c r="H11" s="1071"/>
      <c r="I11" s="543">
        <v>250</v>
      </c>
      <c r="J11" s="523">
        <v>9.9999999999999995E-7</v>
      </c>
      <c r="K11" s="523">
        <v>9.9999999999999995E-7</v>
      </c>
      <c r="L11" s="523">
        <v>9.9999999999999995E-7</v>
      </c>
      <c r="M11" s="617">
        <v>9.9999999999999995E-7</v>
      </c>
      <c r="N11" s="617">
        <f t="shared" si="0"/>
        <v>3</v>
      </c>
      <c r="O11" s="1071"/>
      <c r="P11" s="543">
        <v>250</v>
      </c>
      <c r="Q11" s="523">
        <v>9.9999999999999995E-7</v>
      </c>
      <c r="R11" s="523">
        <v>9.9999999999999995E-7</v>
      </c>
      <c r="S11" s="523">
        <v>9.9999999999999995E-7</v>
      </c>
      <c r="T11" s="617">
        <f t="shared" si="4"/>
        <v>0</v>
      </c>
      <c r="U11" s="617">
        <f t="shared" si="5"/>
        <v>3</v>
      </c>
      <c r="V11" s="167"/>
      <c r="W11" s="460"/>
      <c r="X11" s="65"/>
    </row>
    <row r="12" spans="1:24" ht="13" customHeight="1" x14ac:dyDescent="0.25">
      <c r="A12" s="1068"/>
      <c r="B12" s="1047" t="s">
        <v>235</v>
      </c>
      <c r="C12" s="1047"/>
      <c r="D12" s="1047"/>
      <c r="E12" s="1047"/>
      <c r="F12" s="1041" t="s">
        <v>233</v>
      </c>
      <c r="G12" s="1041" t="s">
        <v>173</v>
      </c>
      <c r="H12" s="1071"/>
      <c r="I12" s="1047" t="str">
        <f>B12</f>
        <v>Current Leakage</v>
      </c>
      <c r="J12" s="1047"/>
      <c r="K12" s="1047"/>
      <c r="L12" s="1047"/>
      <c r="M12" s="1041" t="s">
        <v>233</v>
      </c>
      <c r="N12" s="1041" t="s">
        <v>173</v>
      </c>
      <c r="O12" s="1071"/>
      <c r="P12" s="1047" t="str">
        <f>B12</f>
        <v>Current Leakage</v>
      </c>
      <c r="Q12" s="1047"/>
      <c r="R12" s="1047"/>
      <c r="S12" s="1047"/>
      <c r="T12" s="1041" t="s">
        <v>233</v>
      </c>
      <c r="U12" s="1041" t="s">
        <v>173</v>
      </c>
      <c r="V12" s="65"/>
      <c r="W12" s="65"/>
      <c r="X12" s="65"/>
    </row>
    <row r="13" spans="1:24" ht="14" x14ac:dyDescent="0.25">
      <c r="A13" s="1068"/>
      <c r="B13" s="452" t="s">
        <v>236</v>
      </c>
      <c r="C13" s="615">
        <f>C5</f>
        <v>2022</v>
      </c>
      <c r="D13" s="615">
        <f>D5</f>
        <v>2020</v>
      </c>
      <c r="E13" s="615">
        <f>E5</f>
        <v>2019</v>
      </c>
      <c r="F13" s="1041"/>
      <c r="G13" s="1041"/>
      <c r="H13" s="1071"/>
      <c r="I13" s="452" t="s">
        <v>236</v>
      </c>
      <c r="J13" s="615">
        <f>J5</f>
        <v>2022</v>
      </c>
      <c r="K13" s="615">
        <f>K5</f>
        <v>2019</v>
      </c>
      <c r="L13" s="615">
        <f>L5</f>
        <v>2017</v>
      </c>
      <c r="M13" s="1041"/>
      <c r="N13" s="1041"/>
      <c r="O13" s="1071"/>
      <c r="P13" s="452" t="s">
        <v>236</v>
      </c>
      <c r="Q13" s="615">
        <f>Q5</f>
        <v>2022</v>
      </c>
      <c r="R13" s="615">
        <f>R5</f>
        <v>2021</v>
      </c>
      <c r="S13" s="615">
        <f>S5</f>
        <v>2018</v>
      </c>
      <c r="T13" s="1041"/>
      <c r="U13" s="1041"/>
      <c r="V13" s="65"/>
      <c r="W13" s="65"/>
      <c r="X13" s="65"/>
    </row>
    <row r="14" spans="1:24" x14ac:dyDescent="0.25">
      <c r="A14" s="1068"/>
      <c r="B14" s="543">
        <v>9.9999999999999995E-7</v>
      </c>
      <c r="C14" s="523">
        <v>9.9999999999999995E-7</v>
      </c>
      <c r="D14" s="523">
        <v>9.9999999999999995E-7</v>
      </c>
      <c r="E14" s="523">
        <v>9.9999999999999995E-7</v>
      </c>
      <c r="F14" s="617">
        <v>9.9999999999999995E-7</v>
      </c>
      <c r="G14" s="617">
        <f t="shared" ref="G14:G19" si="6">(0.59/100)*B14</f>
        <v>5.8999999999999999E-9</v>
      </c>
      <c r="H14" s="1071"/>
      <c r="I14" s="543">
        <v>9.9999999999999995E-7</v>
      </c>
      <c r="J14" s="523">
        <v>9.9999999999999995E-7</v>
      </c>
      <c r="K14" s="523">
        <v>9.9999999999999995E-7</v>
      </c>
      <c r="L14" s="523">
        <v>9.9999999999999995E-7</v>
      </c>
      <c r="M14" s="617">
        <v>9.9999999999999995E-7</v>
      </c>
      <c r="N14" s="617">
        <f t="shared" ref="N14:N19" si="7">(0.59/100)*I14</f>
        <v>5.8999999999999999E-9</v>
      </c>
      <c r="O14" s="1071"/>
      <c r="P14" s="543">
        <v>9.9999999999999995E-7</v>
      </c>
      <c r="Q14" s="523">
        <v>9.9999999999999995E-7</v>
      </c>
      <c r="R14" s="523">
        <v>9.9999999999999995E-7</v>
      </c>
      <c r="S14" s="523">
        <v>9.9999999999999995E-7</v>
      </c>
      <c r="T14" s="617">
        <v>9.9999999999999995E-7</v>
      </c>
      <c r="U14" s="617">
        <f t="shared" ref="U14:U19" si="8">(0.59/100)*P14</f>
        <v>5.8999999999999999E-9</v>
      </c>
      <c r="V14" s="65"/>
      <c r="W14" s="65"/>
      <c r="X14" s="65"/>
    </row>
    <row r="15" spans="1:24" x14ac:dyDescent="0.25">
      <c r="A15" s="1068"/>
      <c r="B15" s="543">
        <v>50</v>
      </c>
      <c r="C15" s="523">
        <v>4</v>
      </c>
      <c r="D15" s="523">
        <v>0.1</v>
      </c>
      <c r="E15" s="523">
        <v>-0.06</v>
      </c>
      <c r="F15" s="617">
        <f t="shared" ref="F15:F19" si="9">0.5*(MAX(C15:E15)-MIN(C15:E15))</f>
        <v>2.0299999999999998</v>
      </c>
      <c r="G15" s="617">
        <f t="shared" si="6"/>
        <v>0.29499999999999998</v>
      </c>
      <c r="H15" s="1071"/>
      <c r="I15" s="543">
        <v>50</v>
      </c>
      <c r="J15" s="523">
        <v>1</v>
      </c>
      <c r="K15" s="523">
        <v>-0.08</v>
      </c>
      <c r="L15" s="523">
        <v>0.1</v>
      </c>
      <c r="M15" s="617">
        <f t="shared" ref="M15:M19" si="10">0.5*(MAX(J15:L15)-MIN(J15:L15))</f>
        <v>0.54</v>
      </c>
      <c r="N15" s="617">
        <f t="shared" si="7"/>
        <v>0.29499999999999998</v>
      </c>
      <c r="O15" s="1071"/>
      <c r="P15" s="543">
        <v>50</v>
      </c>
      <c r="Q15" s="523">
        <v>9.1</v>
      </c>
      <c r="R15" s="523">
        <v>-0.62</v>
      </c>
      <c r="S15" s="523">
        <v>2</v>
      </c>
      <c r="T15" s="617">
        <f t="shared" ref="T15:T19" si="11">0.5*(MAX(Q15:S15)-MIN(Q15:S15))</f>
        <v>4.8599999999999994</v>
      </c>
      <c r="U15" s="617">
        <f t="shared" si="8"/>
        <v>0.29499999999999998</v>
      </c>
      <c r="V15" s="65"/>
      <c r="W15" s="65"/>
      <c r="X15" s="65"/>
    </row>
    <row r="16" spans="1:24" x14ac:dyDescent="0.25">
      <c r="A16" s="1068"/>
      <c r="B16" s="543">
        <v>100</v>
      </c>
      <c r="C16" s="523">
        <v>3.6</v>
      </c>
      <c r="D16" s="523">
        <v>0.2</v>
      </c>
      <c r="E16" s="523">
        <v>-0.06</v>
      </c>
      <c r="F16" s="617">
        <f t="shared" si="9"/>
        <v>1.83</v>
      </c>
      <c r="G16" s="617">
        <f t="shared" si="6"/>
        <v>0.59</v>
      </c>
      <c r="H16" s="1071"/>
      <c r="I16" s="543">
        <v>100</v>
      </c>
      <c r="J16" s="523">
        <v>-0.9</v>
      </c>
      <c r="K16" s="523">
        <v>-7.0000000000000007E-2</v>
      </c>
      <c r="L16" s="523">
        <v>2.2000000000000002</v>
      </c>
      <c r="M16" s="617">
        <f t="shared" si="10"/>
        <v>1.55</v>
      </c>
      <c r="N16" s="617">
        <f t="shared" si="7"/>
        <v>0.59</v>
      </c>
      <c r="O16" s="1071"/>
      <c r="P16" s="543">
        <v>100</v>
      </c>
      <c r="Q16" s="523">
        <v>6</v>
      </c>
      <c r="R16" s="523">
        <v>-0.22</v>
      </c>
      <c r="S16" s="523">
        <v>2</v>
      </c>
      <c r="T16" s="617">
        <f t="shared" si="11"/>
        <v>3.11</v>
      </c>
      <c r="U16" s="617">
        <f t="shared" si="8"/>
        <v>0.59</v>
      </c>
      <c r="V16" s="65"/>
      <c r="W16" s="65"/>
      <c r="X16" s="65"/>
    </row>
    <row r="17" spans="1:24" x14ac:dyDescent="0.25">
      <c r="A17" s="1068"/>
      <c r="B17" s="543">
        <v>200</v>
      </c>
      <c r="C17" s="523">
        <v>2.2000000000000002</v>
      </c>
      <c r="D17" s="523">
        <v>0.4</v>
      </c>
      <c r="E17" s="523">
        <v>9.9999999999999995E-7</v>
      </c>
      <c r="F17" s="617">
        <f t="shared" si="9"/>
        <v>1.0999995</v>
      </c>
      <c r="G17" s="617">
        <f t="shared" si="6"/>
        <v>1.18</v>
      </c>
      <c r="H17" s="1071"/>
      <c r="I17" s="543">
        <v>200</v>
      </c>
      <c r="J17" s="523">
        <v>-6.4</v>
      </c>
      <c r="K17" s="523">
        <v>-0.1</v>
      </c>
      <c r="L17" s="523">
        <v>3.3</v>
      </c>
      <c r="M17" s="617">
        <f t="shared" si="10"/>
        <v>4.8499999999999996</v>
      </c>
      <c r="N17" s="617">
        <f t="shared" si="7"/>
        <v>1.18</v>
      </c>
      <c r="O17" s="1071"/>
      <c r="P17" s="543">
        <v>200</v>
      </c>
      <c r="Q17" s="523">
        <v>-3.6</v>
      </c>
      <c r="R17" s="523">
        <v>-0.1</v>
      </c>
      <c r="S17" s="523">
        <v>3.6</v>
      </c>
      <c r="T17" s="617">
        <f t="shared" si="11"/>
        <v>3.6</v>
      </c>
      <c r="U17" s="617">
        <f t="shared" si="8"/>
        <v>1.18</v>
      </c>
      <c r="V17" s="65"/>
      <c r="W17" s="65"/>
      <c r="X17" s="65"/>
    </row>
    <row r="18" spans="1:24" x14ac:dyDescent="0.25">
      <c r="A18" s="1068"/>
      <c r="B18" s="543">
        <v>500</v>
      </c>
      <c r="C18" s="523">
        <v>-2</v>
      </c>
      <c r="D18" s="523">
        <v>3.8</v>
      </c>
      <c r="E18" s="523">
        <v>-0.9</v>
      </c>
      <c r="F18" s="617">
        <f t="shared" si="9"/>
        <v>2.9</v>
      </c>
      <c r="G18" s="617">
        <f t="shared" si="6"/>
        <v>2.9499999999999997</v>
      </c>
      <c r="H18" s="1071"/>
      <c r="I18" s="543">
        <v>500</v>
      </c>
      <c r="J18" s="523">
        <v>-21.7</v>
      </c>
      <c r="K18" s="523">
        <v>0.8</v>
      </c>
      <c r="L18" s="523">
        <v>2</v>
      </c>
      <c r="M18" s="617">
        <f t="shared" si="10"/>
        <v>11.85</v>
      </c>
      <c r="N18" s="617">
        <f t="shared" si="7"/>
        <v>2.9499999999999997</v>
      </c>
      <c r="O18" s="1071"/>
      <c r="P18" s="543">
        <v>500</v>
      </c>
      <c r="Q18" s="523">
        <v>-18.8</v>
      </c>
      <c r="R18" s="523">
        <v>-1.1000000000000001</v>
      </c>
      <c r="S18" s="523">
        <v>2.9</v>
      </c>
      <c r="T18" s="617">
        <f t="shared" si="11"/>
        <v>10.85</v>
      </c>
      <c r="U18" s="617">
        <f t="shared" si="8"/>
        <v>2.9499999999999997</v>
      </c>
      <c r="V18" s="65"/>
      <c r="W18" s="65"/>
      <c r="X18" s="65"/>
    </row>
    <row r="19" spans="1:24" x14ac:dyDescent="0.25">
      <c r="A19" s="1068"/>
      <c r="B19" s="543">
        <v>1000</v>
      </c>
      <c r="C19" s="523">
        <v>-26</v>
      </c>
      <c r="D19" s="523">
        <v>9.9999999999999995E-7</v>
      </c>
      <c r="E19" s="523">
        <v>9.9999999999999995E-7</v>
      </c>
      <c r="F19" s="617">
        <f t="shared" si="9"/>
        <v>13.000000500000001</v>
      </c>
      <c r="G19" s="617">
        <f t="shared" si="6"/>
        <v>5.8999999999999995</v>
      </c>
      <c r="H19" s="1071"/>
      <c r="I19" s="543">
        <v>1000</v>
      </c>
      <c r="J19" s="523">
        <v>-67</v>
      </c>
      <c r="K19" s="523">
        <v>9.9999999999999995E-7</v>
      </c>
      <c r="L19" s="523">
        <v>9.9999999999999995E-7</v>
      </c>
      <c r="M19" s="617">
        <f t="shared" si="10"/>
        <v>33.500000499999999</v>
      </c>
      <c r="N19" s="617">
        <f t="shared" si="7"/>
        <v>5.8999999999999995</v>
      </c>
      <c r="O19" s="1071"/>
      <c r="P19" s="543">
        <v>1000</v>
      </c>
      <c r="Q19" s="523">
        <v>-47</v>
      </c>
      <c r="R19" s="523">
        <v>3</v>
      </c>
      <c r="S19" s="523">
        <v>3</v>
      </c>
      <c r="T19" s="617">
        <f t="shared" si="11"/>
        <v>25</v>
      </c>
      <c r="U19" s="617">
        <f t="shared" si="8"/>
        <v>5.8999999999999995</v>
      </c>
      <c r="V19" s="65"/>
      <c r="W19" s="65"/>
      <c r="X19" s="65"/>
    </row>
    <row r="20" spans="1:24" ht="13" x14ac:dyDescent="0.25">
      <c r="A20" s="1068"/>
      <c r="B20" s="1047" t="s">
        <v>237</v>
      </c>
      <c r="C20" s="1047"/>
      <c r="D20" s="1047"/>
      <c r="E20" s="1047"/>
      <c r="F20" s="1041" t="s">
        <v>233</v>
      </c>
      <c r="G20" s="1041" t="s">
        <v>173</v>
      </c>
      <c r="H20" s="1071"/>
      <c r="I20" s="1047" t="str">
        <f>B20</f>
        <v>Main-PE</v>
      </c>
      <c r="J20" s="1047"/>
      <c r="K20" s="1047"/>
      <c r="L20" s="1047"/>
      <c r="M20" s="1041" t="s">
        <v>233</v>
      </c>
      <c r="N20" s="1041" t="s">
        <v>173</v>
      </c>
      <c r="O20" s="1071"/>
      <c r="P20" s="1047" t="str">
        <f>B20</f>
        <v>Main-PE</v>
      </c>
      <c r="Q20" s="1047"/>
      <c r="R20" s="1047"/>
      <c r="S20" s="1047"/>
      <c r="T20" s="1041" t="s">
        <v>233</v>
      </c>
      <c r="U20" s="1041" t="s">
        <v>173</v>
      </c>
      <c r="V20" s="65"/>
      <c r="W20" s="65"/>
      <c r="X20" s="65"/>
    </row>
    <row r="21" spans="1:24" ht="14.5" x14ac:dyDescent="0.25">
      <c r="A21" s="1068"/>
      <c r="B21" s="452" t="s">
        <v>335</v>
      </c>
      <c r="C21" s="615">
        <f>C5</f>
        <v>2022</v>
      </c>
      <c r="D21" s="615">
        <f>D5</f>
        <v>2020</v>
      </c>
      <c r="E21" s="615">
        <f>E5</f>
        <v>2019</v>
      </c>
      <c r="F21" s="1041"/>
      <c r="G21" s="1041"/>
      <c r="H21" s="1071"/>
      <c r="I21" s="452" t="s">
        <v>335</v>
      </c>
      <c r="J21" s="615">
        <f>J5</f>
        <v>2022</v>
      </c>
      <c r="K21" s="615">
        <f>K5</f>
        <v>2019</v>
      </c>
      <c r="L21" s="615">
        <f>L5</f>
        <v>2017</v>
      </c>
      <c r="M21" s="1041"/>
      <c r="N21" s="1041"/>
      <c r="O21" s="1071"/>
      <c r="P21" s="452" t="s">
        <v>335</v>
      </c>
      <c r="Q21" s="615">
        <f>Q5</f>
        <v>2022</v>
      </c>
      <c r="R21" s="615">
        <f>R5</f>
        <v>2021</v>
      </c>
      <c r="S21" s="615">
        <f>S5</f>
        <v>2018</v>
      </c>
      <c r="T21" s="1041"/>
      <c r="U21" s="1041"/>
      <c r="V21" s="65"/>
      <c r="W21" s="65"/>
      <c r="X21" s="65"/>
    </row>
    <row r="22" spans="1:24" x14ac:dyDescent="0.25">
      <c r="A22" s="1068"/>
      <c r="B22" s="543">
        <v>10</v>
      </c>
      <c r="C22" s="523">
        <v>9.9999999999999995E-7</v>
      </c>
      <c r="D22" s="523">
        <v>-1E-3</v>
      </c>
      <c r="E22" s="523">
        <v>9.9999999999999995E-7</v>
      </c>
      <c r="F22" s="617">
        <f>0.5*(MAX(C22:E22)-MIN(C22:E22))</f>
        <v>5.0049999999999997E-4</v>
      </c>
      <c r="G22" s="617">
        <f>(1.7/100)*B22</f>
        <v>0.17</v>
      </c>
      <c r="H22" s="1071"/>
      <c r="I22" s="543">
        <v>10</v>
      </c>
      <c r="J22" s="523">
        <v>9.9999999999999995E-7</v>
      </c>
      <c r="K22" s="523">
        <v>0.1</v>
      </c>
      <c r="L22" s="523">
        <v>9.9999999999999995E-7</v>
      </c>
      <c r="M22" s="617">
        <f>0.5*(MAX(J22:L22)-MIN(J22:L22))</f>
        <v>4.9999500000000002E-2</v>
      </c>
      <c r="N22" s="617">
        <f>(1.7/100)*I22</f>
        <v>0.17</v>
      </c>
      <c r="O22" s="1071"/>
      <c r="P22" s="543">
        <v>5</v>
      </c>
      <c r="Q22" s="523">
        <v>9.9999999999999995E-7</v>
      </c>
      <c r="R22" s="523">
        <v>9.9999999999999995E-7</v>
      </c>
      <c r="S22" s="523">
        <v>9.9999999999999995E-7</v>
      </c>
      <c r="T22" s="617">
        <v>9.9999999999999995E-7</v>
      </c>
      <c r="U22" s="617">
        <f>(1.7/100)*P22</f>
        <v>8.5000000000000006E-2</v>
      </c>
      <c r="V22" s="65"/>
      <c r="W22" s="65"/>
      <c r="X22" s="65"/>
    </row>
    <row r="23" spans="1:24" x14ac:dyDescent="0.25">
      <c r="A23" s="1068"/>
      <c r="B23" s="543">
        <v>20</v>
      </c>
      <c r="C23" s="523">
        <v>0.1</v>
      </c>
      <c r="D23" s="523">
        <v>9.9999999999999995E-7</v>
      </c>
      <c r="E23" s="523">
        <v>9.9999999999999995E-7</v>
      </c>
      <c r="F23" s="617">
        <f t="shared" ref="F23:F25" si="12">0.5*(MAX(C23:E23)-MIN(C23:E23))</f>
        <v>4.9999500000000002E-2</v>
      </c>
      <c r="G23" s="617">
        <f t="shared" ref="G23:G25" si="13">(1.7/100)*B23</f>
        <v>0.34</v>
      </c>
      <c r="H23" s="1071"/>
      <c r="I23" s="543">
        <v>20</v>
      </c>
      <c r="J23" s="523">
        <v>0.1</v>
      </c>
      <c r="K23" s="523">
        <v>0.2</v>
      </c>
      <c r="L23" s="523">
        <v>0.1</v>
      </c>
      <c r="M23" s="617">
        <f t="shared" ref="M23:M25" si="14">0.5*(MAX(J23:L23)-MIN(J23:L23))</f>
        <v>0.05</v>
      </c>
      <c r="N23" s="617">
        <f t="shared" ref="N23:N25" si="15">(1.7/100)*I23</f>
        <v>0.34</v>
      </c>
      <c r="O23" s="1071"/>
      <c r="P23" s="543">
        <v>10</v>
      </c>
      <c r="Q23" s="523">
        <v>9.9999999999999995E-7</v>
      </c>
      <c r="R23" s="523">
        <v>9.9999999999999995E-7</v>
      </c>
      <c r="S23" s="523">
        <v>9.9999999999999995E-7</v>
      </c>
      <c r="T23" s="617">
        <v>9.9999999999999995E-7</v>
      </c>
      <c r="U23" s="617">
        <f>(1.7/100)*P23</f>
        <v>0.17</v>
      </c>
      <c r="V23" s="65"/>
      <c r="W23" s="65"/>
      <c r="X23" s="65"/>
    </row>
    <row r="24" spans="1:24" x14ac:dyDescent="0.25">
      <c r="A24" s="1068"/>
      <c r="B24" s="543">
        <v>50</v>
      </c>
      <c r="C24" s="523">
        <v>0.3</v>
      </c>
      <c r="D24" s="523">
        <v>9.9999999999999995E-7</v>
      </c>
      <c r="E24" s="523">
        <v>9.9999999999999995E-7</v>
      </c>
      <c r="F24" s="617">
        <f t="shared" si="12"/>
        <v>0.14999950000000001</v>
      </c>
      <c r="G24" s="617">
        <f t="shared" si="13"/>
        <v>0.85000000000000009</v>
      </c>
      <c r="H24" s="1071"/>
      <c r="I24" s="543">
        <v>50</v>
      </c>
      <c r="J24" s="523">
        <v>0.2</v>
      </c>
      <c r="K24" s="523">
        <v>0.3</v>
      </c>
      <c r="L24" s="523">
        <v>0.1</v>
      </c>
      <c r="M24" s="617">
        <f t="shared" si="14"/>
        <v>9.9999999999999992E-2</v>
      </c>
      <c r="N24" s="617">
        <f t="shared" si="15"/>
        <v>0.85000000000000009</v>
      </c>
      <c r="O24" s="1071"/>
      <c r="P24" s="543">
        <v>20</v>
      </c>
      <c r="Q24" s="523">
        <v>9.9999999999999995E-7</v>
      </c>
      <c r="R24" s="523">
        <v>0.4</v>
      </c>
      <c r="S24" s="523">
        <v>0.3</v>
      </c>
      <c r="T24" s="617">
        <f t="shared" ref="T24:T25" si="16">0.5*(MAX(Q24:S24)-MIN(Q24:S24))</f>
        <v>0.19999950000000002</v>
      </c>
      <c r="U24" s="617">
        <f>(1.7/100)*P24</f>
        <v>0.34</v>
      </c>
      <c r="V24" s="65"/>
      <c r="W24" s="65"/>
      <c r="X24" s="65"/>
    </row>
    <row r="25" spans="1:24" x14ac:dyDescent="0.25">
      <c r="A25" s="1068"/>
      <c r="B25" s="543">
        <v>100</v>
      </c>
      <c r="C25" s="523">
        <v>0.4</v>
      </c>
      <c r="D25" s="523">
        <v>9.9999999999999995E-7</v>
      </c>
      <c r="E25" s="523">
        <v>9.9999999999999995E-7</v>
      </c>
      <c r="F25" s="617">
        <f t="shared" si="12"/>
        <v>0.19999950000000002</v>
      </c>
      <c r="G25" s="617">
        <f t="shared" si="13"/>
        <v>1.7000000000000002</v>
      </c>
      <c r="H25" s="1071"/>
      <c r="I25" s="543">
        <v>100</v>
      </c>
      <c r="J25" s="523">
        <v>0.2</v>
      </c>
      <c r="K25" s="523">
        <v>0.3</v>
      </c>
      <c r="L25" s="523">
        <v>9.9999999999999995E-7</v>
      </c>
      <c r="M25" s="617">
        <f t="shared" si="14"/>
        <v>0.14999950000000001</v>
      </c>
      <c r="N25" s="617">
        <f t="shared" si="15"/>
        <v>1.7000000000000002</v>
      </c>
      <c r="O25" s="1071"/>
      <c r="P25" s="543">
        <v>50</v>
      </c>
      <c r="Q25" s="523">
        <v>0.1</v>
      </c>
      <c r="R25" s="523">
        <v>1.1000000000000001</v>
      </c>
      <c r="S25" s="523">
        <v>0.6</v>
      </c>
      <c r="T25" s="617">
        <f t="shared" si="16"/>
        <v>0.5</v>
      </c>
      <c r="U25" s="617">
        <f>(1.7/100)*P25</f>
        <v>0.85000000000000009</v>
      </c>
      <c r="V25" s="65"/>
      <c r="W25" s="65"/>
      <c r="X25" s="65"/>
    </row>
    <row r="26" spans="1:24" ht="13" customHeight="1" x14ac:dyDescent="0.25">
      <c r="A26" s="1068"/>
      <c r="B26" s="1047" t="s">
        <v>238</v>
      </c>
      <c r="C26" s="1047"/>
      <c r="D26" s="1047"/>
      <c r="E26" s="1047"/>
      <c r="F26" s="1041" t="s">
        <v>233</v>
      </c>
      <c r="G26" s="1041" t="s">
        <v>173</v>
      </c>
      <c r="H26" s="1071"/>
      <c r="I26" s="1047" t="str">
        <f>B26</f>
        <v>Resistance</v>
      </c>
      <c r="J26" s="1047"/>
      <c r="K26" s="1047"/>
      <c r="L26" s="1047"/>
      <c r="M26" s="1041" t="s">
        <v>233</v>
      </c>
      <c r="N26" s="1041" t="s">
        <v>173</v>
      </c>
      <c r="O26" s="1071"/>
      <c r="P26" s="1047" t="str">
        <f>B26</f>
        <v>Resistance</v>
      </c>
      <c r="Q26" s="1047"/>
      <c r="R26" s="1047"/>
      <c r="S26" s="1047"/>
      <c r="T26" s="1041" t="s">
        <v>233</v>
      </c>
      <c r="U26" s="1041" t="s">
        <v>173</v>
      </c>
      <c r="V26" s="65"/>
      <c r="W26" s="65"/>
      <c r="X26" s="65"/>
    </row>
    <row r="27" spans="1:24" ht="14.5" x14ac:dyDescent="0.25">
      <c r="A27" s="1068"/>
      <c r="B27" s="452" t="s">
        <v>336</v>
      </c>
      <c r="C27" s="615">
        <f>C5</f>
        <v>2022</v>
      </c>
      <c r="D27" s="615">
        <f>D5</f>
        <v>2020</v>
      </c>
      <c r="E27" s="615">
        <f>E5</f>
        <v>2019</v>
      </c>
      <c r="F27" s="1041"/>
      <c r="G27" s="1041"/>
      <c r="H27" s="1071"/>
      <c r="I27" s="452" t="s">
        <v>336</v>
      </c>
      <c r="J27" s="615">
        <f>J5</f>
        <v>2022</v>
      </c>
      <c r="K27" s="615">
        <f>K5</f>
        <v>2019</v>
      </c>
      <c r="L27" s="615">
        <f>L5</f>
        <v>2017</v>
      </c>
      <c r="M27" s="1041"/>
      <c r="N27" s="1041"/>
      <c r="O27" s="1071"/>
      <c r="P27" s="452" t="s">
        <v>336</v>
      </c>
      <c r="Q27" s="615">
        <f>Q5</f>
        <v>2022</v>
      </c>
      <c r="R27" s="615">
        <f>R5</f>
        <v>2021</v>
      </c>
      <c r="S27" s="615">
        <f>S5</f>
        <v>2018</v>
      </c>
      <c r="T27" s="1041"/>
      <c r="U27" s="1041"/>
      <c r="V27" s="65"/>
      <c r="W27" s="65"/>
      <c r="X27" s="65"/>
    </row>
    <row r="28" spans="1:24" x14ac:dyDescent="0.25">
      <c r="A28" s="1068"/>
      <c r="B28" s="457">
        <v>9.9999999999999995E-7</v>
      </c>
      <c r="C28" s="523">
        <v>-2E-3</v>
      </c>
      <c r="D28" s="523">
        <v>9.9999999999999995E-7</v>
      </c>
      <c r="E28" s="523">
        <v>9.9999999999999995E-7</v>
      </c>
      <c r="F28" s="617">
        <f>0.5*(MAX(C28:E28)-MIN(C28:E28))</f>
        <v>1.0005000000000001E-3</v>
      </c>
      <c r="G28" s="617">
        <f>(1.2/100)*B28</f>
        <v>1.2E-8</v>
      </c>
      <c r="H28" s="1071"/>
      <c r="I28" s="457">
        <v>0.01</v>
      </c>
      <c r="J28" s="523">
        <v>9.9999999999999995E-7</v>
      </c>
      <c r="K28" s="523">
        <v>9.9999999999999995E-7</v>
      </c>
      <c r="L28" s="523">
        <v>9.9999999999999995E-7</v>
      </c>
      <c r="M28" s="617">
        <v>9.9999999999999995E-7</v>
      </c>
      <c r="N28" s="617">
        <f>(1.2/100)*I28</f>
        <v>1.2E-4</v>
      </c>
      <c r="O28" s="1071"/>
      <c r="P28" s="457">
        <v>9.9999999999999995E-7</v>
      </c>
      <c r="Q28" s="523">
        <v>-1E-3</v>
      </c>
      <c r="R28" s="523">
        <v>9.9999999999999995E-7</v>
      </c>
      <c r="S28" s="523">
        <v>9.9999999999999995E-7</v>
      </c>
      <c r="T28" s="617">
        <f>0.5*(MAX(Q28:S28)-MIN(Q28:S28))</f>
        <v>5.0049999999999997E-4</v>
      </c>
      <c r="U28" s="617">
        <f>(1.2/100)*P28</f>
        <v>1.2E-8</v>
      </c>
      <c r="V28" s="65"/>
      <c r="W28" s="65"/>
      <c r="X28" s="65"/>
    </row>
    <row r="29" spans="1:24" x14ac:dyDescent="0.25">
      <c r="A29" s="1068"/>
      <c r="B29" s="457">
        <v>0.1</v>
      </c>
      <c r="C29" s="523">
        <v>1E-3</v>
      </c>
      <c r="D29" s="523">
        <v>-1E-3</v>
      </c>
      <c r="E29" s="523">
        <v>2E-3</v>
      </c>
      <c r="F29" s="617">
        <f t="shared" ref="F29:F31" si="17">0.5*(MAX(C29:E29)-MIN(C29:E29))</f>
        <v>1.5E-3</v>
      </c>
      <c r="G29" s="617">
        <f>(1.2/100)*B29</f>
        <v>1.2000000000000001E-3</v>
      </c>
      <c r="H29" s="1071"/>
      <c r="I29" s="457">
        <v>0.1</v>
      </c>
      <c r="J29" s="523">
        <v>5.0000000000000001E-3</v>
      </c>
      <c r="K29" s="523">
        <v>6.0000000000000001E-3</v>
      </c>
      <c r="L29" s="523">
        <v>5.0000000000000001E-3</v>
      </c>
      <c r="M29" s="617">
        <f t="shared" ref="M29:M31" si="18">0.5*(MAX(J29:L29)-MIN(J29:L29))</f>
        <v>5.0000000000000001E-4</v>
      </c>
      <c r="N29" s="617">
        <f>(1.2/100)*I29</f>
        <v>1.2000000000000001E-3</v>
      </c>
      <c r="O29" s="1071"/>
      <c r="P29" s="457">
        <v>0.5</v>
      </c>
      <c r="Q29" s="523">
        <v>-2E-3</v>
      </c>
      <c r="R29" s="523">
        <v>-1E-3</v>
      </c>
      <c r="S29" s="523">
        <v>9.9999999999999995E-7</v>
      </c>
      <c r="T29" s="617">
        <f t="shared" ref="T29:T31" si="19">0.5*(MAX(Q29:S29)-MIN(Q29:S29))</f>
        <v>1.0005000000000001E-3</v>
      </c>
      <c r="U29" s="617">
        <f>(1.2/100)*P29</f>
        <v>6.0000000000000001E-3</v>
      </c>
      <c r="V29" s="65"/>
      <c r="W29" s="65"/>
      <c r="X29" s="65"/>
    </row>
    <row r="30" spans="1:24" x14ac:dyDescent="0.25">
      <c r="A30" s="1068"/>
      <c r="B30" s="457">
        <v>1</v>
      </c>
      <c r="C30" s="523">
        <v>4.0000000000000001E-3</v>
      </c>
      <c r="D30" s="523">
        <v>4.0000000000000001E-3</v>
      </c>
      <c r="E30" s="523">
        <v>1.2E-2</v>
      </c>
      <c r="F30" s="617">
        <f t="shared" si="17"/>
        <v>4.0000000000000001E-3</v>
      </c>
      <c r="G30" s="617">
        <f>(1.2/100)*B30</f>
        <v>1.2E-2</v>
      </c>
      <c r="H30" s="1071"/>
      <c r="I30" s="457">
        <v>1</v>
      </c>
      <c r="J30" s="523">
        <v>5.8000000000000003E-2</v>
      </c>
      <c r="K30" s="523">
        <v>4.4999999999999998E-2</v>
      </c>
      <c r="L30" s="523">
        <v>5.5E-2</v>
      </c>
      <c r="M30" s="617">
        <f t="shared" si="18"/>
        <v>6.5000000000000023E-3</v>
      </c>
      <c r="N30" s="617">
        <f>(1.2/100)*I30</f>
        <v>1.2E-2</v>
      </c>
      <c r="O30" s="1071"/>
      <c r="P30" s="457">
        <v>1</v>
      </c>
      <c r="Q30" s="523">
        <v>-1.2E-2</v>
      </c>
      <c r="R30" s="523">
        <v>5.0000000000000001E-3</v>
      </c>
      <c r="S30" s="523">
        <v>9.9999999999999995E-7</v>
      </c>
      <c r="T30" s="617">
        <f t="shared" si="19"/>
        <v>8.5000000000000006E-3</v>
      </c>
      <c r="U30" s="617">
        <f>(1.2/100)*P30</f>
        <v>1.2E-2</v>
      </c>
      <c r="V30" s="65"/>
      <c r="W30" s="65"/>
      <c r="X30" s="65"/>
    </row>
    <row r="31" spans="1:24" x14ac:dyDescent="0.25">
      <c r="A31" s="1068"/>
      <c r="B31" s="457">
        <v>2</v>
      </c>
      <c r="C31" s="523">
        <v>1.2E-2</v>
      </c>
      <c r="D31" s="523">
        <v>7.0000000000000001E-3</v>
      </c>
      <c r="E31" s="523">
        <v>9.9999999999999995E-7</v>
      </c>
      <c r="F31" s="617">
        <f t="shared" si="17"/>
        <v>5.9995000000000005E-3</v>
      </c>
      <c r="G31" s="617">
        <f>(1.2/100)*B31</f>
        <v>2.4E-2</v>
      </c>
      <c r="H31" s="1071"/>
      <c r="I31" s="457">
        <v>2</v>
      </c>
      <c r="J31" s="523">
        <v>0.113</v>
      </c>
      <c r="K31" s="523">
        <v>9.9999999999999995E-7</v>
      </c>
      <c r="L31" s="523">
        <v>9.9999999999999995E-7</v>
      </c>
      <c r="M31" s="617">
        <f t="shared" si="18"/>
        <v>5.6499500000000001E-2</v>
      </c>
      <c r="N31" s="617">
        <f>(1.2/100)*I31</f>
        <v>2.4E-2</v>
      </c>
      <c r="O31" s="1071"/>
      <c r="P31" s="457">
        <v>2</v>
      </c>
      <c r="Q31" s="523">
        <v>-8.0000000000000002E-3</v>
      </c>
      <c r="R31" s="523">
        <v>1.4E-2</v>
      </c>
      <c r="S31" s="523">
        <v>9.9999999999999995E-7</v>
      </c>
      <c r="T31" s="617">
        <f t="shared" si="19"/>
        <v>1.0999999999999999E-2</v>
      </c>
      <c r="U31" s="617">
        <f>(1.2/100)*P31</f>
        <v>2.4E-2</v>
      </c>
      <c r="V31" s="65"/>
      <c r="W31" s="65"/>
      <c r="X31" s="65"/>
    </row>
    <row r="32" spans="1:24" x14ac:dyDescent="0.25">
      <c r="A32" s="461"/>
      <c r="T32" s="462"/>
      <c r="V32" s="65"/>
      <c r="W32" s="65"/>
      <c r="X32" s="65"/>
    </row>
    <row r="33" spans="1:24" ht="14.5" x14ac:dyDescent="0.25">
      <c r="A33" s="1068" t="s">
        <v>239</v>
      </c>
      <c r="B33" s="1072" t="s">
        <v>240</v>
      </c>
      <c r="C33" s="1072"/>
      <c r="D33" s="1072"/>
      <c r="E33" s="1072"/>
      <c r="F33" s="1072"/>
      <c r="G33" s="1072"/>
      <c r="H33" s="1071" t="s">
        <v>241</v>
      </c>
      <c r="I33" s="1073" t="s">
        <v>242</v>
      </c>
      <c r="J33" s="1073"/>
      <c r="K33" s="1073"/>
      <c r="L33" s="1073"/>
      <c r="M33" s="1073"/>
      <c r="N33" s="1073"/>
      <c r="O33" s="1071" t="s">
        <v>243</v>
      </c>
      <c r="P33" s="1072" t="s">
        <v>244</v>
      </c>
      <c r="Q33" s="1072"/>
      <c r="R33" s="1072"/>
      <c r="S33" s="1072"/>
      <c r="T33" s="1072"/>
      <c r="U33" s="1072"/>
      <c r="V33" s="65"/>
      <c r="W33" s="65"/>
      <c r="X33" s="65"/>
    </row>
    <row r="34" spans="1:24" ht="14" x14ac:dyDescent="0.3">
      <c r="A34" s="1068"/>
      <c r="B34" s="1074" t="s">
        <v>231</v>
      </c>
      <c r="C34" s="1074"/>
      <c r="D34" s="1074"/>
      <c r="E34" s="1074"/>
      <c r="F34" s="1074"/>
      <c r="G34" s="1074"/>
      <c r="H34" s="1071"/>
      <c r="I34" s="1074" t="s">
        <v>231</v>
      </c>
      <c r="J34" s="1074"/>
      <c r="K34" s="1074"/>
      <c r="L34" s="1074"/>
      <c r="M34" s="1074"/>
      <c r="N34" s="1074"/>
      <c r="O34" s="1071"/>
      <c r="P34" s="1074" t="s">
        <v>231</v>
      </c>
      <c r="Q34" s="1074"/>
      <c r="R34" s="1074"/>
      <c r="S34" s="1074"/>
      <c r="T34" s="1074"/>
      <c r="U34" s="1074"/>
      <c r="V34" s="65"/>
      <c r="W34" s="65"/>
      <c r="X34" s="65"/>
    </row>
    <row r="35" spans="1:24" ht="13" x14ac:dyDescent="0.25">
      <c r="A35" s="1068"/>
      <c r="B35" s="1041" t="str">
        <f>B4</f>
        <v>Setting VAC</v>
      </c>
      <c r="C35" s="1041"/>
      <c r="D35" s="1041"/>
      <c r="E35" s="1041"/>
      <c r="F35" s="1041" t="s">
        <v>233</v>
      </c>
      <c r="G35" s="1041" t="s">
        <v>173</v>
      </c>
      <c r="H35" s="1071"/>
      <c r="I35" s="1041" t="str">
        <f>B35</f>
        <v>Setting VAC</v>
      </c>
      <c r="J35" s="1041"/>
      <c r="K35" s="1041"/>
      <c r="L35" s="1041"/>
      <c r="M35" s="1041" t="s">
        <v>233</v>
      </c>
      <c r="N35" s="1041" t="s">
        <v>173</v>
      </c>
      <c r="O35" s="1071"/>
      <c r="P35" s="1041" t="str">
        <f>I35</f>
        <v>Setting VAC</v>
      </c>
      <c r="Q35" s="1041"/>
      <c r="R35" s="1041"/>
      <c r="S35" s="1041"/>
      <c r="T35" s="1041" t="s">
        <v>233</v>
      </c>
      <c r="U35" s="1041" t="s">
        <v>173</v>
      </c>
      <c r="V35" s="65"/>
      <c r="W35" s="65"/>
      <c r="X35" s="65"/>
    </row>
    <row r="36" spans="1:24" ht="14" x14ac:dyDescent="0.25">
      <c r="A36" s="1068"/>
      <c r="B36" s="452" t="s">
        <v>234</v>
      </c>
      <c r="C36" s="615">
        <v>2022</v>
      </c>
      <c r="D36" s="615">
        <v>2021</v>
      </c>
      <c r="E36" s="615">
        <v>2019</v>
      </c>
      <c r="F36" s="1041"/>
      <c r="G36" s="1041"/>
      <c r="H36" s="1071"/>
      <c r="I36" s="452" t="s">
        <v>234</v>
      </c>
      <c r="J36" s="615">
        <v>2022</v>
      </c>
      <c r="K36" s="615">
        <v>2021</v>
      </c>
      <c r="L36" s="615">
        <v>2019</v>
      </c>
      <c r="M36" s="1041"/>
      <c r="N36" s="1041"/>
      <c r="O36" s="1071"/>
      <c r="P36" s="452" t="s">
        <v>234</v>
      </c>
      <c r="Q36" s="615">
        <v>2022</v>
      </c>
      <c r="R36" s="615">
        <v>2019</v>
      </c>
      <c r="S36" s="615">
        <v>2018</v>
      </c>
      <c r="T36" s="1041"/>
      <c r="U36" s="1041"/>
      <c r="V36" s="455"/>
      <c r="W36" s="455"/>
      <c r="X36" s="65"/>
    </row>
    <row r="37" spans="1:24" x14ac:dyDescent="0.25">
      <c r="A37" s="1068"/>
      <c r="B37" s="616">
        <v>150</v>
      </c>
      <c r="C37" s="523">
        <v>0.08</v>
      </c>
      <c r="D37" s="523">
        <v>-0.05</v>
      </c>
      <c r="E37" s="523">
        <v>0.11</v>
      </c>
      <c r="F37" s="617">
        <f>0.5*(MAX(C37:E37)-MIN(C37:E37))</f>
        <v>0.08</v>
      </c>
      <c r="G37" s="617">
        <f t="shared" ref="G37:G42" si="20">(1.2/100)*B37</f>
        <v>1.8</v>
      </c>
      <c r="H37" s="1071"/>
      <c r="I37" s="616">
        <v>150</v>
      </c>
      <c r="J37" s="523">
        <v>0.02</v>
      </c>
      <c r="K37" s="523">
        <v>0.25</v>
      </c>
      <c r="L37" s="523">
        <v>0.02</v>
      </c>
      <c r="M37" s="617">
        <f>0.5*(MAX(J37:L37)-MIN(J37:L37))</f>
        <v>0.115</v>
      </c>
      <c r="N37" s="617">
        <f t="shared" ref="N37:N42" si="21">(1.2/100)*I37</f>
        <v>1.8</v>
      </c>
      <c r="O37" s="1071"/>
      <c r="P37" s="616">
        <v>150</v>
      </c>
      <c r="Q37" s="523">
        <v>0.15</v>
      </c>
      <c r="R37" s="523">
        <v>-0.15</v>
      </c>
      <c r="S37" s="523">
        <v>0.03</v>
      </c>
      <c r="T37" s="617">
        <f>0.5*(MAX(Q37:S37)-MIN(Q37:S37))</f>
        <v>0.15</v>
      </c>
      <c r="U37" s="617">
        <f t="shared" ref="U37:U42" si="22">(1.2/100)*P37</f>
        <v>1.8</v>
      </c>
      <c r="V37" s="167"/>
      <c r="W37" s="460"/>
      <c r="X37" s="65"/>
    </row>
    <row r="38" spans="1:24" x14ac:dyDescent="0.25">
      <c r="A38" s="1068"/>
      <c r="B38" s="616">
        <v>180</v>
      </c>
      <c r="C38" s="523">
        <v>0.11</v>
      </c>
      <c r="D38" s="523">
        <v>-0.04</v>
      </c>
      <c r="E38" s="523">
        <v>0.03</v>
      </c>
      <c r="F38" s="617">
        <f t="shared" ref="F38:F41" si="23">0.5*(MAX(C38:E38)-MIN(C38:E38))</f>
        <v>7.4999999999999997E-2</v>
      </c>
      <c r="G38" s="617">
        <f t="shared" si="20"/>
        <v>2.16</v>
      </c>
      <c r="H38" s="1071"/>
      <c r="I38" s="616">
        <v>180</v>
      </c>
      <c r="J38" s="523">
        <v>-0.08</v>
      </c>
      <c r="K38" s="523">
        <v>0.09</v>
      </c>
      <c r="L38" s="523">
        <v>0.1</v>
      </c>
      <c r="M38" s="617">
        <f t="shared" ref="M38:M41" si="24">0.5*(MAX(J38:L38)-MIN(J38:L38))</f>
        <v>0.09</v>
      </c>
      <c r="N38" s="617">
        <f t="shared" si="21"/>
        <v>2.16</v>
      </c>
      <c r="O38" s="1071"/>
      <c r="P38" s="616">
        <v>180</v>
      </c>
      <c r="Q38" s="523">
        <v>0.17</v>
      </c>
      <c r="R38" s="523">
        <v>-0.11</v>
      </c>
      <c r="S38" s="523">
        <v>9.9999999999999995E-7</v>
      </c>
      <c r="T38" s="617">
        <f t="shared" ref="T38:T42" si="25">0.5*(MAX(Q38:S38)-MIN(Q38:S38))</f>
        <v>0.14000000000000001</v>
      </c>
      <c r="U38" s="617">
        <f t="shared" si="22"/>
        <v>2.16</v>
      </c>
      <c r="V38" s="167"/>
      <c r="W38" s="460"/>
      <c r="X38" s="65"/>
    </row>
    <row r="39" spans="1:24" x14ac:dyDescent="0.25">
      <c r="A39" s="1068"/>
      <c r="B39" s="543">
        <v>200</v>
      </c>
      <c r="C39" s="523">
        <v>0.11</v>
      </c>
      <c r="D39" s="523">
        <v>-0.67</v>
      </c>
      <c r="E39" s="523">
        <v>0.05</v>
      </c>
      <c r="F39" s="617">
        <f t="shared" si="23"/>
        <v>0.39</v>
      </c>
      <c r="G39" s="617">
        <f t="shared" si="20"/>
        <v>2.4</v>
      </c>
      <c r="H39" s="1071"/>
      <c r="I39" s="543">
        <v>200</v>
      </c>
      <c r="J39" s="523">
        <v>-0.12</v>
      </c>
      <c r="K39" s="523">
        <v>0.18</v>
      </c>
      <c r="L39" s="523">
        <v>-0.03</v>
      </c>
      <c r="M39" s="617">
        <f t="shared" si="24"/>
        <v>0.15</v>
      </c>
      <c r="N39" s="617">
        <f t="shared" si="21"/>
        <v>2.4</v>
      </c>
      <c r="O39" s="1071"/>
      <c r="P39" s="543">
        <v>200</v>
      </c>
      <c r="Q39" s="523">
        <v>0.1</v>
      </c>
      <c r="R39" s="523">
        <v>-0.1</v>
      </c>
      <c r="S39" s="523">
        <v>0.05</v>
      </c>
      <c r="T39" s="617">
        <f t="shared" si="25"/>
        <v>0.1</v>
      </c>
      <c r="U39" s="617">
        <f t="shared" si="22"/>
        <v>2.4</v>
      </c>
      <c r="V39" s="167"/>
      <c r="W39" s="460"/>
      <c r="X39" s="65"/>
    </row>
    <row r="40" spans="1:24" x14ac:dyDescent="0.25">
      <c r="A40" s="1068"/>
      <c r="B40" s="543">
        <v>220</v>
      </c>
      <c r="C40" s="523">
        <v>0.13</v>
      </c>
      <c r="D40" s="523">
        <v>9.9999999999999995E-7</v>
      </c>
      <c r="E40" s="523">
        <v>0.1</v>
      </c>
      <c r="F40" s="617">
        <f t="shared" si="23"/>
        <v>6.4999500000000002E-2</v>
      </c>
      <c r="G40" s="617">
        <f t="shared" si="20"/>
        <v>2.64</v>
      </c>
      <c r="H40" s="1071"/>
      <c r="I40" s="543">
        <v>220</v>
      </c>
      <c r="J40" s="523">
        <v>-0.17</v>
      </c>
      <c r="K40" s="523">
        <v>0.56000000000000005</v>
      </c>
      <c r="L40" s="523">
        <v>0.38</v>
      </c>
      <c r="M40" s="617">
        <f t="shared" si="24"/>
        <v>0.36500000000000005</v>
      </c>
      <c r="N40" s="617">
        <f t="shared" si="21"/>
        <v>2.64</v>
      </c>
      <c r="O40" s="1071"/>
      <c r="P40" s="543">
        <v>220</v>
      </c>
      <c r="Q40" s="523">
        <v>7.0000000000000007E-2</v>
      </c>
      <c r="R40" s="523">
        <v>-0.13</v>
      </c>
      <c r="S40" s="523">
        <v>0.05</v>
      </c>
      <c r="T40" s="617">
        <f t="shared" si="25"/>
        <v>0.1</v>
      </c>
      <c r="U40" s="617">
        <f t="shared" si="22"/>
        <v>2.64</v>
      </c>
      <c r="V40" s="167"/>
      <c r="W40" s="460"/>
      <c r="X40" s="65"/>
    </row>
    <row r="41" spans="1:24" x14ac:dyDescent="0.25">
      <c r="A41" s="1068"/>
      <c r="B41" s="543">
        <v>230</v>
      </c>
      <c r="C41" s="523">
        <v>0.11</v>
      </c>
      <c r="D41" s="523">
        <v>-0.11</v>
      </c>
      <c r="E41" s="523">
        <v>1.1100000000000001</v>
      </c>
      <c r="F41" s="617">
        <f t="shared" si="23"/>
        <v>0.6100000000000001</v>
      </c>
      <c r="G41" s="617">
        <f t="shared" si="20"/>
        <v>2.7600000000000002</v>
      </c>
      <c r="H41" s="1071"/>
      <c r="I41" s="543">
        <v>230</v>
      </c>
      <c r="J41" s="523">
        <v>-0.14000000000000001</v>
      </c>
      <c r="K41" s="523">
        <v>0.73</v>
      </c>
      <c r="L41" s="523">
        <v>-0.16</v>
      </c>
      <c r="M41" s="617">
        <f t="shared" si="24"/>
        <v>0.44500000000000001</v>
      </c>
      <c r="N41" s="617">
        <f t="shared" si="21"/>
        <v>2.7600000000000002</v>
      </c>
      <c r="O41" s="1071"/>
      <c r="P41" s="543">
        <v>230</v>
      </c>
      <c r="Q41" s="523">
        <v>0.08</v>
      </c>
      <c r="R41" s="523">
        <v>-0.15</v>
      </c>
      <c r="S41" s="523">
        <v>-0.05</v>
      </c>
      <c r="T41" s="617">
        <f t="shared" si="25"/>
        <v>0.11499999999999999</v>
      </c>
      <c r="U41" s="617">
        <f t="shared" si="22"/>
        <v>2.7600000000000002</v>
      </c>
      <c r="V41" s="167"/>
      <c r="W41" s="460"/>
      <c r="X41" s="65"/>
    </row>
    <row r="42" spans="1:24" x14ac:dyDescent="0.25">
      <c r="A42" s="1068"/>
      <c r="B42" s="543">
        <v>250</v>
      </c>
      <c r="C42" s="523">
        <v>9.9999999999999995E-7</v>
      </c>
      <c r="D42" s="523">
        <v>9.9999999999999995E-7</v>
      </c>
      <c r="E42" s="523">
        <v>9.9999999999999995E-7</v>
      </c>
      <c r="F42" s="617">
        <v>9.9999999999999995E-7</v>
      </c>
      <c r="G42" s="617">
        <f t="shared" si="20"/>
        <v>3</v>
      </c>
      <c r="H42" s="1071"/>
      <c r="I42" s="543">
        <v>250</v>
      </c>
      <c r="J42" s="523">
        <v>9.9999999999999995E-7</v>
      </c>
      <c r="K42" s="523">
        <v>9.9999999999999995E-7</v>
      </c>
      <c r="L42" s="523">
        <v>9.9999999999999995E-7</v>
      </c>
      <c r="M42" s="617">
        <v>9.9999999999999995E-7</v>
      </c>
      <c r="N42" s="617">
        <f t="shared" si="21"/>
        <v>3</v>
      </c>
      <c r="O42" s="1071"/>
      <c r="P42" s="543">
        <v>250</v>
      </c>
      <c r="Q42" s="523">
        <v>9.9999999999999995E-7</v>
      </c>
      <c r="R42" s="523">
        <v>9.9999999999999995E-7</v>
      </c>
      <c r="S42" s="523">
        <v>9.9999999999999995E-7</v>
      </c>
      <c r="T42" s="617">
        <f t="shared" si="25"/>
        <v>0</v>
      </c>
      <c r="U42" s="617">
        <f t="shared" si="22"/>
        <v>3</v>
      </c>
      <c r="V42" s="167"/>
      <c r="W42" s="460"/>
      <c r="X42" s="65"/>
    </row>
    <row r="43" spans="1:24" ht="12.75" customHeight="1" x14ac:dyDescent="0.25">
      <c r="A43" s="1068"/>
      <c r="B43" s="1047" t="str">
        <f>B12</f>
        <v>Current Leakage</v>
      </c>
      <c r="C43" s="1047"/>
      <c r="D43" s="1047"/>
      <c r="E43" s="1047"/>
      <c r="F43" s="1041" t="s">
        <v>233</v>
      </c>
      <c r="G43" s="1041" t="s">
        <v>173</v>
      </c>
      <c r="H43" s="1071"/>
      <c r="I43" s="1047" t="str">
        <f>B43</f>
        <v>Current Leakage</v>
      </c>
      <c r="J43" s="1047"/>
      <c r="K43" s="1047"/>
      <c r="L43" s="1047"/>
      <c r="M43" s="1041" t="s">
        <v>233</v>
      </c>
      <c r="N43" s="1041" t="s">
        <v>173</v>
      </c>
      <c r="O43" s="1071"/>
      <c r="P43" s="1047" t="str">
        <f>I43</f>
        <v>Current Leakage</v>
      </c>
      <c r="Q43" s="1047"/>
      <c r="R43" s="1047"/>
      <c r="S43" s="1047"/>
      <c r="T43" s="1041" t="s">
        <v>233</v>
      </c>
      <c r="U43" s="1041" t="s">
        <v>173</v>
      </c>
      <c r="V43" s="65"/>
      <c r="W43" s="65"/>
      <c r="X43" s="65"/>
    </row>
    <row r="44" spans="1:24" ht="14" x14ac:dyDescent="0.25">
      <c r="A44" s="1068"/>
      <c r="B44" s="452" t="s">
        <v>236</v>
      </c>
      <c r="C44" s="615">
        <f>C36</f>
        <v>2022</v>
      </c>
      <c r="D44" s="615">
        <f>D36</f>
        <v>2021</v>
      </c>
      <c r="E44" s="615">
        <f>E36</f>
        <v>2019</v>
      </c>
      <c r="F44" s="1041"/>
      <c r="G44" s="1041"/>
      <c r="H44" s="1071"/>
      <c r="I44" s="452" t="s">
        <v>236</v>
      </c>
      <c r="J44" s="615">
        <f>J36</f>
        <v>2022</v>
      </c>
      <c r="K44" s="615">
        <f>K36</f>
        <v>2021</v>
      </c>
      <c r="L44" s="615">
        <f>L36</f>
        <v>2019</v>
      </c>
      <c r="M44" s="1041"/>
      <c r="N44" s="1041"/>
      <c r="O44" s="1071"/>
      <c r="P44" s="452" t="s">
        <v>236</v>
      </c>
      <c r="Q44" s="615">
        <f>Q36</f>
        <v>2022</v>
      </c>
      <c r="R44" s="615">
        <f>R36</f>
        <v>2019</v>
      </c>
      <c r="S44" s="615">
        <f>S36</f>
        <v>2018</v>
      </c>
      <c r="T44" s="1041"/>
      <c r="U44" s="1041"/>
      <c r="V44" s="65"/>
      <c r="W44" s="65"/>
      <c r="X44" s="65"/>
    </row>
    <row r="45" spans="1:24" x14ac:dyDescent="0.25">
      <c r="A45" s="1068"/>
      <c r="B45" s="543">
        <v>9.9999999999999995E-7</v>
      </c>
      <c r="C45" s="523">
        <v>9.9999999999999995E-7</v>
      </c>
      <c r="D45" s="523">
        <v>9.9999999999999995E-7</v>
      </c>
      <c r="E45" s="523">
        <v>9.9999999999999995E-7</v>
      </c>
      <c r="F45" s="617">
        <v>9.9999999999999995E-7</v>
      </c>
      <c r="G45" s="617">
        <f t="shared" ref="G45:G50" si="26">(0.59/100)*B45</f>
        <v>5.8999999999999999E-9</v>
      </c>
      <c r="H45" s="1071"/>
      <c r="I45" s="543">
        <v>9.9999999999999995E-7</v>
      </c>
      <c r="J45" s="523">
        <v>9.9999999999999995E-7</v>
      </c>
      <c r="K45" s="523">
        <v>9.9999999999999995E-7</v>
      </c>
      <c r="L45" s="523">
        <v>9.9999999999999995E-7</v>
      </c>
      <c r="M45" s="617">
        <v>9.9999999999999995E-7</v>
      </c>
      <c r="N45" s="617">
        <f>(0.59/100)*I45</f>
        <v>5.8999999999999999E-9</v>
      </c>
      <c r="O45" s="1071"/>
      <c r="P45" s="543">
        <v>9.9999999999999995E-7</v>
      </c>
      <c r="Q45" s="523">
        <v>9.9999999999999995E-7</v>
      </c>
      <c r="R45" s="523">
        <v>9.9999999999999995E-7</v>
      </c>
      <c r="S45" s="523">
        <v>9.9999999999999995E-7</v>
      </c>
      <c r="T45" s="617">
        <v>9.9999999999999995E-7</v>
      </c>
      <c r="U45" s="617">
        <f>(0.59/100)*P45</f>
        <v>5.8999999999999999E-9</v>
      </c>
    </row>
    <row r="46" spans="1:24" x14ac:dyDescent="0.25">
      <c r="A46" s="1068"/>
      <c r="B46" s="543">
        <v>50</v>
      </c>
      <c r="C46" s="523">
        <v>9.9999999999999995E-7</v>
      </c>
      <c r="D46" s="523">
        <v>-0.3</v>
      </c>
      <c r="E46" s="523">
        <v>-0.28999999999999998</v>
      </c>
      <c r="F46" s="617">
        <f t="shared" ref="F46:F50" si="27">0.5*(MAX(C46:E46)-MIN(C46:E46))</f>
        <v>0.15000049999999998</v>
      </c>
      <c r="G46" s="617">
        <f t="shared" si="26"/>
        <v>0.29499999999999998</v>
      </c>
      <c r="H46" s="1071"/>
      <c r="I46" s="543">
        <v>50</v>
      </c>
      <c r="J46" s="523">
        <v>4.0999999999999996</v>
      </c>
      <c r="K46" s="523">
        <v>0.3</v>
      </c>
      <c r="L46" s="523">
        <v>-0.33</v>
      </c>
      <c r="M46" s="617">
        <f t="shared" ref="M46:M50" si="28">0.5*(MAX(J46:L46)-MIN(J46:L46))</f>
        <v>2.2149999999999999</v>
      </c>
      <c r="N46" s="617">
        <f t="shared" ref="N46:N50" si="29">(0.59/100)*I46</f>
        <v>0.29499999999999998</v>
      </c>
      <c r="O46" s="1071"/>
      <c r="P46" s="543">
        <v>50</v>
      </c>
      <c r="Q46" s="523">
        <v>19.100000000000001</v>
      </c>
      <c r="R46" s="523">
        <v>0.02</v>
      </c>
      <c r="S46" s="523">
        <v>-0.1</v>
      </c>
      <c r="T46" s="617">
        <f t="shared" ref="T46:T50" si="30">0.5*(MAX(Q46:S46)-MIN(Q46:S46))</f>
        <v>9.6000000000000014</v>
      </c>
      <c r="U46" s="617">
        <f t="shared" ref="U46:U50" si="31">(0.59/100)*P46</f>
        <v>0.29499999999999998</v>
      </c>
    </row>
    <row r="47" spans="1:24" x14ac:dyDescent="0.25">
      <c r="A47" s="1068"/>
      <c r="B47" s="543">
        <v>100</v>
      </c>
      <c r="C47" s="523">
        <v>4.0999999999999996</v>
      </c>
      <c r="D47" s="523">
        <v>-0.4</v>
      </c>
      <c r="E47" s="523">
        <v>-0.35</v>
      </c>
      <c r="F47" s="617">
        <f t="shared" si="27"/>
        <v>2.25</v>
      </c>
      <c r="G47" s="617">
        <f t="shared" si="26"/>
        <v>0.59</v>
      </c>
      <c r="H47" s="1071"/>
      <c r="I47" s="543">
        <v>100</v>
      </c>
      <c r="J47" s="523">
        <v>5</v>
      </c>
      <c r="K47" s="523">
        <v>-0.1</v>
      </c>
      <c r="L47" s="523">
        <v>-0.42</v>
      </c>
      <c r="M47" s="617">
        <f t="shared" si="28"/>
        <v>2.71</v>
      </c>
      <c r="N47" s="617">
        <f t="shared" si="29"/>
        <v>0.59</v>
      </c>
      <c r="O47" s="1071"/>
      <c r="P47" s="543">
        <v>100</v>
      </c>
      <c r="Q47" s="523">
        <v>18.399999999999999</v>
      </c>
      <c r="R47" s="523">
        <v>0.22</v>
      </c>
      <c r="S47" s="523">
        <v>-0.2</v>
      </c>
      <c r="T47" s="617">
        <f t="shared" si="30"/>
        <v>9.2999999999999989</v>
      </c>
      <c r="U47" s="617">
        <f t="shared" si="31"/>
        <v>0.59</v>
      </c>
    </row>
    <row r="48" spans="1:24" x14ac:dyDescent="0.25">
      <c r="A48" s="1068"/>
      <c r="B48" s="543">
        <v>200</v>
      </c>
      <c r="C48" s="523">
        <v>5</v>
      </c>
      <c r="D48" s="523">
        <v>0.3</v>
      </c>
      <c r="E48" s="523">
        <v>0.8</v>
      </c>
      <c r="F48" s="617">
        <f t="shared" si="27"/>
        <v>2.35</v>
      </c>
      <c r="G48" s="617">
        <f t="shared" si="26"/>
        <v>1.18</v>
      </c>
      <c r="H48" s="1071"/>
      <c r="I48" s="543">
        <v>200</v>
      </c>
      <c r="J48" s="523">
        <v>7.7</v>
      </c>
      <c r="K48" s="523">
        <v>1.3</v>
      </c>
      <c r="L48" s="523">
        <v>1.3</v>
      </c>
      <c r="M48" s="617">
        <f t="shared" si="28"/>
        <v>3.2</v>
      </c>
      <c r="N48" s="617">
        <f t="shared" si="29"/>
        <v>1.18</v>
      </c>
      <c r="O48" s="1071"/>
      <c r="P48" s="543">
        <v>200</v>
      </c>
      <c r="Q48" s="523">
        <v>14.4</v>
      </c>
      <c r="R48" s="523">
        <v>0.8</v>
      </c>
      <c r="S48" s="523">
        <v>0.8</v>
      </c>
      <c r="T48" s="617">
        <f t="shared" si="30"/>
        <v>6.8</v>
      </c>
      <c r="U48" s="617">
        <f t="shared" si="31"/>
        <v>1.18</v>
      </c>
    </row>
    <row r="49" spans="1:21" x14ac:dyDescent="0.25">
      <c r="A49" s="1068"/>
      <c r="B49" s="543">
        <v>500</v>
      </c>
      <c r="C49" s="523">
        <v>3.5</v>
      </c>
      <c r="D49" s="523">
        <v>0.2</v>
      </c>
      <c r="E49" s="523">
        <v>1.2</v>
      </c>
      <c r="F49" s="617">
        <f t="shared" si="27"/>
        <v>1.65</v>
      </c>
      <c r="G49" s="617">
        <f t="shared" si="26"/>
        <v>2.9499999999999997</v>
      </c>
      <c r="H49" s="1071"/>
      <c r="I49" s="543">
        <v>500</v>
      </c>
      <c r="J49" s="523">
        <v>5.7</v>
      </c>
      <c r="K49" s="523">
        <v>0.7</v>
      </c>
      <c r="L49" s="523">
        <v>0.7</v>
      </c>
      <c r="M49" s="617">
        <f t="shared" si="28"/>
        <v>2.5</v>
      </c>
      <c r="N49" s="617">
        <f t="shared" si="29"/>
        <v>2.9499999999999997</v>
      </c>
      <c r="O49" s="1071"/>
      <c r="P49" s="543">
        <v>500</v>
      </c>
      <c r="Q49" s="523">
        <v>6.2</v>
      </c>
      <c r="R49" s="523">
        <v>1.1000000000000001</v>
      </c>
      <c r="S49" s="523">
        <v>0.6</v>
      </c>
      <c r="T49" s="617">
        <f t="shared" si="30"/>
        <v>2.8000000000000003</v>
      </c>
      <c r="U49" s="617">
        <f t="shared" si="31"/>
        <v>2.9499999999999997</v>
      </c>
    </row>
    <row r="50" spans="1:21" x14ac:dyDescent="0.25">
      <c r="A50" s="1068"/>
      <c r="B50" s="543">
        <v>1000</v>
      </c>
      <c r="C50" s="523">
        <v>-100</v>
      </c>
      <c r="D50" s="523">
        <v>2</v>
      </c>
      <c r="E50" s="523">
        <v>2</v>
      </c>
      <c r="F50" s="617">
        <f t="shared" si="27"/>
        <v>51</v>
      </c>
      <c r="G50" s="617">
        <f t="shared" si="26"/>
        <v>5.8999999999999995</v>
      </c>
      <c r="H50" s="1071"/>
      <c r="I50" s="543">
        <v>850</v>
      </c>
      <c r="J50" s="523">
        <v>-88</v>
      </c>
      <c r="K50" s="523">
        <v>9.9999999999999995E-7</v>
      </c>
      <c r="L50" s="523">
        <v>9.9999999999999995E-7</v>
      </c>
      <c r="M50" s="617">
        <f t="shared" si="28"/>
        <v>44.000000499999999</v>
      </c>
      <c r="N50" s="617">
        <f t="shared" si="29"/>
        <v>5.0149999999999997</v>
      </c>
      <c r="O50" s="1071"/>
      <c r="P50" s="543">
        <v>1000</v>
      </c>
      <c r="Q50" s="523">
        <v>-11</v>
      </c>
      <c r="R50" s="523">
        <v>9.9999999999999995E-7</v>
      </c>
      <c r="S50" s="523">
        <v>9.9999999999999995E-7</v>
      </c>
      <c r="T50" s="617">
        <f t="shared" si="30"/>
        <v>5.5000004999999996</v>
      </c>
      <c r="U50" s="617">
        <f t="shared" si="31"/>
        <v>5.8999999999999995</v>
      </c>
    </row>
    <row r="51" spans="1:21" ht="13" x14ac:dyDescent="0.25">
      <c r="A51" s="1068"/>
      <c r="B51" s="1047" t="str">
        <f>B20</f>
        <v>Main-PE</v>
      </c>
      <c r="C51" s="1047"/>
      <c r="D51" s="1047"/>
      <c r="E51" s="1047"/>
      <c r="F51" s="1041" t="s">
        <v>233</v>
      </c>
      <c r="G51" s="1041" t="s">
        <v>173</v>
      </c>
      <c r="H51" s="1071"/>
      <c r="I51" s="1047" t="str">
        <f>B51</f>
        <v>Main-PE</v>
      </c>
      <c r="J51" s="1047"/>
      <c r="K51" s="1047"/>
      <c r="L51" s="1047"/>
      <c r="M51" s="1041" t="s">
        <v>233</v>
      </c>
      <c r="N51" s="1041" t="s">
        <v>173</v>
      </c>
      <c r="O51" s="1071"/>
      <c r="P51" s="1047" t="str">
        <f>I51</f>
        <v>Main-PE</v>
      </c>
      <c r="Q51" s="1047"/>
      <c r="R51" s="1047"/>
      <c r="S51" s="1047"/>
      <c r="T51" s="1041" t="s">
        <v>233</v>
      </c>
      <c r="U51" s="1041" t="s">
        <v>173</v>
      </c>
    </row>
    <row r="52" spans="1:21" ht="14.5" x14ac:dyDescent="0.25">
      <c r="A52" s="1068"/>
      <c r="B52" s="452" t="s">
        <v>335</v>
      </c>
      <c r="C52" s="615">
        <f>C36</f>
        <v>2022</v>
      </c>
      <c r="D52" s="615">
        <f>D36</f>
        <v>2021</v>
      </c>
      <c r="E52" s="615">
        <f>E36</f>
        <v>2019</v>
      </c>
      <c r="F52" s="1041"/>
      <c r="G52" s="1041"/>
      <c r="H52" s="1071"/>
      <c r="I52" s="452" t="s">
        <v>335</v>
      </c>
      <c r="J52" s="615">
        <f>J36</f>
        <v>2022</v>
      </c>
      <c r="K52" s="615">
        <f>K36</f>
        <v>2021</v>
      </c>
      <c r="L52" s="615">
        <f>L36</f>
        <v>2019</v>
      </c>
      <c r="M52" s="1041"/>
      <c r="N52" s="1041"/>
      <c r="O52" s="1071"/>
      <c r="P52" s="452" t="s">
        <v>335</v>
      </c>
      <c r="Q52" s="615">
        <f>Q36</f>
        <v>2022</v>
      </c>
      <c r="R52" s="615">
        <f>R36</f>
        <v>2019</v>
      </c>
      <c r="S52" s="615">
        <f>S36</f>
        <v>2018</v>
      </c>
      <c r="T52" s="1041"/>
      <c r="U52" s="1041"/>
    </row>
    <row r="53" spans="1:21" x14ac:dyDescent="0.25">
      <c r="A53" s="1068"/>
      <c r="B53" s="543">
        <v>10</v>
      </c>
      <c r="C53" s="523">
        <v>9.9999999999999995E-7</v>
      </c>
      <c r="D53" s="523">
        <v>9.9999999999999995E-7</v>
      </c>
      <c r="E53" s="523">
        <v>0.1</v>
      </c>
      <c r="F53" s="617">
        <f>0.5*(MAX(C53:E53)-MIN(C53:E53))</f>
        <v>4.9999500000000002E-2</v>
      </c>
      <c r="G53" s="617">
        <f>(1.7/100)*B53</f>
        <v>0.17</v>
      </c>
      <c r="H53" s="1071"/>
      <c r="I53" s="543">
        <v>10</v>
      </c>
      <c r="J53" s="523">
        <v>9.9999999999999995E-7</v>
      </c>
      <c r="K53" s="523">
        <v>9.9999999999999995E-7</v>
      </c>
      <c r="L53" s="523">
        <v>0.1</v>
      </c>
      <c r="M53" s="617">
        <f>0.5*(MAX(J53:L53)-MIN(J53:L53))</f>
        <v>4.9999500000000002E-2</v>
      </c>
      <c r="N53" s="617">
        <f>(1.7/100)*I53</f>
        <v>0.17</v>
      </c>
      <c r="O53" s="1071"/>
      <c r="P53" s="543">
        <v>10</v>
      </c>
      <c r="Q53" s="523">
        <v>0.1</v>
      </c>
      <c r="R53" s="523">
        <v>0.1</v>
      </c>
      <c r="S53" s="523">
        <v>9.9999999999999995E-7</v>
      </c>
      <c r="T53" s="617">
        <f>0.5*(MAX(Q53:S53)-MIN(Q53:S53))</f>
        <v>4.9999500000000002E-2</v>
      </c>
      <c r="U53" s="617">
        <f>(1.7/100)*P53</f>
        <v>0.17</v>
      </c>
    </row>
    <row r="54" spans="1:21" x14ac:dyDescent="0.25">
      <c r="A54" s="1068"/>
      <c r="B54" s="543">
        <v>20</v>
      </c>
      <c r="C54" s="523">
        <v>0.1</v>
      </c>
      <c r="D54" s="523">
        <v>0.1</v>
      </c>
      <c r="E54" s="523">
        <v>0.2</v>
      </c>
      <c r="F54" s="617">
        <f t="shared" ref="F54:F56" si="32">0.5*(MAX(C54:E54)-MIN(C54:E54))</f>
        <v>0.05</v>
      </c>
      <c r="G54" s="617">
        <f>(1.7/100)*B54</f>
        <v>0.34</v>
      </c>
      <c r="H54" s="1071"/>
      <c r="I54" s="543">
        <v>20</v>
      </c>
      <c r="J54" s="523">
        <v>0.1</v>
      </c>
      <c r="K54" s="523">
        <v>0.1</v>
      </c>
      <c r="L54" s="523">
        <v>0.1</v>
      </c>
      <c r="M54" s="617">
        <f t="shared" ref="M54:M56" si="33">0.5*(MAX(J54:L54)-MIN(J54:L54))</f>
        <v>0</v>
      </c>
      <c r="N54" s="617">
        <f>(1.7/100)*I54</f>
        <v>0.34</v>
      </c>
      <c r="O54" s="1071"/>
      <c r="P54" s="543">
        <v>20</v>
      </c>
      <c r="Q54" s="523">
        <v>0.1</v>
      </c>
      <c r="R54" s="523">
        <v>0.1</v>
      </c>
      <c r="S54" s="523">
        <v>9.9999999999999995E-7</v>
      </c>
      <c r="T54" s="617">
        <f t="shared" ref="T54:T56" si="34">0.5*(MAX(Q54:S54)-MIN(Q54:S54))</f>
        <v>4.9999500000000002E-2</v>
      </c>
      <c r="U54" s="617">
        <f>(1.7/100)*P54</f>
        <v>0.34</v>
      </c>
    </row>
    <row r="55" spans="1:21" x14ac:dyDescent="0.25">
      <c r="A55" s="1068"/>
      <c r="B55" s="543">
        <v>50</v>
      </c>
      <c r="C55" s="523">
        <v>0.4</v>
      </c>
      <c r="D55" s="523">
        <v>0.4</v>
      </c>
      <c r="E55" s="523">
        <v>0.5</v>
      </c>
      <c r="F55" s="617">
        <f t="shared" si="32"/>
        <v>4.9999999999999989E-2</v>
      </c>
      <c r="G55" s="617">
        <f>(1.7/100)*B55</f>
        <v>0.85000000000000009</v>
      </c>
      <c r="H55" s="1071"/>
      <c r="I55" s="543">
        <v>50</v>
      </c>
      <c r="J55" s="523">
        <v>0.3</v>
      </c>
      <c r="K55" s="523">
        <v>0.6</v>
      </c>
      <c r="L55" s="523">
        <v>0.4</v>
      </c>
      <c r="M55" s="617">
        <f t="shared" si="33"/>
        <v>0.15</v>
      </c>
      <c r="N55" s="617">
        <f>(1.7/100)*I55</f>
        <v>0.85000000000000009</v>
      </c>
      <c r="O55" s="1071"/>
      <c r="P55" s="543">
        <v>50</v>
      </c>
      <c r="Q55" s="523">
        <v>0.3</v>
      </c>
      <c r="R55" s="523">
        <v>0.3</v>
      </c>
      <c r="S55" s="523">
        <v>0.2</v>
      </c>
      <c r="T55" s="617">
        <f t="shared" si="34"/>
        <v>4.9999999999999989E-2</v>
      </c>
      <c r="U55" s="617">
        <f>(1.7/100)*P55</f>
        <v>0.85000000000000009</v>
      </c>
    </row>
    <row r="56" spans="1:21" x14ac:dyDescent="0.25">
      <c r="A56" s="1068"/>
      <c r="B56" s="543">
        <v>100</v>
      </c>
      <c r="C56" s="523">
        <v>0.8</v>
      </c>
      <c r="D56" s="523">
        <v>1.4</v>
      </c>
      <c r="E56" s="523">
        <v>1</v>
      </c>
      <c r="F56" s="617">
        <f t="shared" si="32"/>
        <v>0.29999999999999993</v>
      </c>
      <c r="G56" s="617">
        <f>(1.7/100)*B56</f>
        <v>1.7000000000000002</v>
      </c>
      <c r="H56" s="1071"/>
      <c r="I56" s="543">
        <v>100</v>
      </c>
      <c r="J56" s="523">
        <v>0.4</v>
      </c>
      <c r="K56" s="523">
        <v>1.5</v>
      </c>
      <c r="L56" s="523">
        <v>0.8</v>
      </c>
      <c r="M56" s="617">
        <f t="shared" si="33"/>
        <v>0.55000000000000004</v>
      </c>
      <c r="N56" s="617">
        <f>(1.7/100)*I56</f>
        <v>1.7000000000000002</v>
      </c>
      <c r="O56" s="1071"/>
      <c r="P56" s="543">
        <v>100</v>
      </c>
      <c r="Q56" s="523">
        <v>0.6</v>
      </c>
      <c r="R56" s="523">
        <v>0.6</v>
      </c>
      <c r="S56" s="523">
        <v>0.7</v>
      </c>
      <c r="T56" s="617">
        <f t="shared" si="34"/>
        <v>4.9999999999999989E-2</v>
      </c>
      <c r="U56" s="617">
        <f>(1.7/100)*P56</f>
        <v>1.7000000000000002</v>
      </c>
    </row>
    <row r="57" spans="1:21" ht="12.75" customHeight="1" x14ac:dyDescent="0.25">
      <c r="A57" s="1068"/>
      <c r="B57" s="1047" t="str">
        <f>B26</f>
        <v>Resistance</v>
      </c>
      <c r="C57" s="1047"/>
      <c r="D57" s="1047"/>
      <c r="E57" s="1047"/>
      <c r="F57" s="1041" t="s">
        <v>233</v>
      </c>
      <c r="G57" s="1041" t="s">
        <v>173</v>
      </c>
      <c r="H57" s="1071"/>
      <c r="I57" s="1047" t="str">
        <f>B57</f>
        <v>Resistance</v>
      </c>
      <c r="J57" s="1047"/>
      <c r="K57" s="1047"/>
      <c r="L57" s="1047"/>
      <c r="M57" s="1041" t="s">
        <v>233</v>
      </c>
      <c r="N57" s="1041" t="s">
        <v>173</v>
      </c>
      <c r="O57" s="1071"/>
      <c r="P57" s="1047" t="str">
        <f>I57</f>
        <v>Resistance</v>
      </c>
      <c r="Q57" s="1047"/>
      <c r="R57" s="1047"/>
      <c r="S57" s="1047"/>
      <c r="T57" s="1041" t="s">
        <v>233</v>
      </c>
      <c r="U57" s="1041" t="s">
        <v>173</v>
      </c>
    </row>
    <row r="58" spans="1:21" ht="14.5" x14ac:dyDescent="0.25">
      <c r="A58" s="1068"/>
      <c r="B58" s="452" t="s">
        <v>336</v>
      </c>
      <c r="C58" s="615">
        <f>C36</f>
        <v>2022</v>
      </c>
      <c r="D58" s="615">
        <f>D36</f>
        <v>2021</v>
      </c>
      <c r="E58" s="615">
        <f>E36</f>
        <v>2019</v>
      </c>
      <c r="F58" s="1041"/>
      <c r="G58" s="1041"/>
      <c r="H58" s="1071"/>
      <c r="I58" s="452" t="s">
        <v>336</v>
      </c>
      <c r="J58" s="615">
        <f>J36</f>
        <v>2022</v>
      </c>
      <c r="K58" s="615">
        <f>K36</f>
        <v>2021</v>
      </c>
      <c r="L58" s="615">
        <f>L36</f>
        <v>2019</v>
      </c>
      <c r="M58" s="1041"/>
      <c r="N58" s="1041"/>
      <c r="O58" s="1071"/>
      <c r="P58" s="452" t="s">
        <v>336</v>
      </c>
      <c r="Q58" s="615">
        <f>Q36</f>
        <v>2022</v>
      </c>
      <c r="R58" s="615">
        <f>R36</f>
        <v>2019</v>
      </c>
      <c r="S58" s="615">
        <f>S36</f>
        <v>2018</v>
      </c>
      <c r="T58" s="1041"/>
      <c r="U58" s="1041"/>
    </row>
    <row r="59" spans="1:21" x14ac:dyDescent="0.25">
      <c r="A59" s="1068"/>
      <c r="B59" s="457">
        <v>0.01</v>
      </c>
      <c r="C59" s="523">
        <v>9.9999999999999995E-7</v>
      </c>
      <c r="D59" s="523">
        <v>9.9999999999999995E-7</v>
      </c>
      <c r="E59" s="523">
        <v>9.9999999999999995E-7</v>
      </c>
      <c r="F59" s="617">
        <v>9.9999999999999995E-7</v>
      </c>
      <c r="G59" s="617">
        <f>(1.2/100)*B59</f>
        <v>1.2E-4</v>
      </c>
      <c r="H59" s="1071"/>
      <c r="I59" s="457">
        <v>0.01</v>
      </c>
      <c r="J59" s="523">
        <v>9.9999999999999995E-7</v>
      </c>
      <c r="K59" s="523">
        <v>9.9999999999999995E-7</v>
      </c>
      <c r="L59" s="523">
        <v>9.9999999999999995E-7</v>
      </c>
      <c r="M59" s="617">
        <v>9.9999999999999995E-7</v>
      </c>
      <c r="N59" s="617">
        <f>(1.2/100)*I59</f>
        <v>1.2E-4</v>
      </c>
      <c r="O59" s="1071"/>
      <c r="P59" s="457">
        <v>0.01</v>
      </c>
      <c r="Q59" s="523">
        <v>9.9999999999999995E-7</v>
      </c>
      <c r="R59" s="523">
        <v>9.9999999999999995E-7</v>
      </c>
      <c r="S59" s="523">
        <v>9.9999999999999995E-7</v>
      </c>
      <c r="T59" s="617">
        <v>9.9999999999999995E-7</v>
      </c>
      <c r="U59" s="617">
        <f>(1.2/100)*P59</f>
        <v>1.2E-4</v>
      </c>
    </row>
    <row r="60" spans="1:21" x14ac:dyDescent="0.25">
      <c r="A60" s="1068"/>
      <c r="B60" s="457">
        <v>0.1</v>
      </c>
      <c r="C60" s="523">
        <v>9.9999999999999995E-7</v>
      </c>
      <c r="D60" s="523">
        <v>-2E-3</v>
      </c>
      <c r="E60" s="523">
        <v>9.9999999999999995E-7</v>
      </c>
      <c r="F60" s="617">
        <f t="shared" ref="F60:F62" si="35">0.5*(MAX(C60:E60)-MIN(C60:E60))</f>
        <v>1.0005000000000001E-3</v>
      </c>
      <c r="G60" s="617">
        <f>(1.2/100)*B60</f>
        <v>1.2000000000000001E-3</v>
      </c>
      <c r="H60" s="1071"/>
      <c r="I60" s="457">
        <v>0.1</v>
      </c>
      <c r="J60" s="523">
        <v>-6.0000000000000001E-3</v>
      </c>
      <c r="K60" s="523">
        <v>5.0000000000000001E-3</v>
      </c>
      <c r="L60" s="523">
        <v>2E-3</v>
      </c>
      <c r="M60" s="617">
        <f t="shared" ref="M60:M62" si="36">0.5*(MAX(J60:L60)-MIN(J60:L60))</f>
        <v>5.4999999999999997E-3</v>
      </c>
      <c r="N60" s="617">
        <f>(1.2/100)*I60</f>
        <v>1.2000000000000001E-3</v>
      </c>
      <c r="O60" s="1071"/>
      <c r="P60" s="457">
        <v>0.1</v>
      </c>
      <c r="Q60" s="523">
        <v>-3.0000000000000001E-3</v>
      </c>
      <c r="R60" s="523">
        <v>-2E-3</v>
      </c>
      <c r="S60" s="523">
        <v>6.0000000000000001E-3</v>
      </c>
      <c r="T60" s="617">
        <f t="shared" ref="T60:T62" si="37">0.5*(MAX(Q60:S60)-MIN(Q60:S60))</f>
        <v>4.5000000000000005E-3</v>
      </c>
      <c r="U60" s="617">
        <f>(1.2/100)*P60</f>
        <v>1.2000000000000001E-3</v>
      </c>
    </row>
    <row r="61" spans="1:21" x14ac:dyDescent="0.25">
      <c r="A61" s="1068"/>
      <c r="B61" s="457">
        <v>1</v>
      </c>
      <c r="C61" s="523">
        <v>-2E-3</v>
      </c>
      <c r="D61" s="523">
        <v>-8.0000000000000002E-3</v>
      </c>
      <c r="E61" s="523">
        <v>-1E-3</v>
      </c>
      <c r="F61" s="617">
        <f t="shared" si="35"/>
        <v>3.5000000000000001E-3</v>
      </c>
      <c r="G61" s="617">
        <f>(1.2/100)*B61</f>
        <v>1.2E-2</v>
      </c>
      <c r="H61" s="1071"/>
      <c r="I61" s="457">
        <v>1</v>
      </c>
      <c r="J61" s="523">
        <v>-2E-3</v>
      </c>
      <c r="K61" s="523">
        <v>1.7999999999999999E-2</v>
      </c>
      <c r="L61" s="523">
        <v>1.2E-2</v>
      </c>
      <c r="M61" s="617">
        <f t="shared" si="36"/>
        <v>9.9999999999999985E-3</v>
      </c>
      <c r="N61" s="617">
        <f>(1.2/100)*I61</f>
        <v>1.2E-2</v>
      </c>
      <c r="O61" s="1071"/>
      <c r="P61" s="457">
        <v>1</v>
      </c>
      <c r="Q61" s="523">
        <v>-7.0000000000000001E-3</v>
      </c>
      <c r="R61" s="523">
        <v>-1E-3</v>
      </c>
      <c r="S61" s="523">
        <v>8.0000000000000002E-3</v>
      </c>
      <c r="T61" s="617">
        <f t="shared" si="37"/>
        <v>7.4999999999999997E-3</v>
      </c>
      <c r="U61" s="617">
        <f>(1.2/100)*P61</f>
        <v>1.2E-2</v>
      </c>
    </row>
    <row r="62" spans="1:21" x14ac:dyDescent="0.25">
      <c r="A62" s="1068"/>
      <c r="B62" s="457">
        <v>2</v>
      </c>
      <c r="C62" s="523">
        <v>-6.0000000000000001E-3</v>
      </c>
      <c r="D62" s="523">
        <v>-7.0000000000000001E-3</v>
      </c>
      <c r="E62" s="523">
        <v>9.9999999999999995E-7</v>
      </c>
      <c r="F62" s="617">
        <f t="shared" si="35"/>
        <v>3.5005000000000001E-3</v>
      </c>
      <c r="G62" s="617">
        <f>(1.2/100)*B62</f>
        <v>2.4E-2</v>
      </c>
      <c r="H62" s="1071"/>
      <c r="I62" s="457">
        <v>2</v>
      </c>
      <c r="J62" s="523">
        <v>-4.0000000000000001E-3</v>
      </c>
      <c r="K62" s="523">
        <v>0.113</v>
      </c>
      <c r="L62" s="523">
        <v>9.9999999999999995E-7</v>
      </c>
      <c r="M62" s="617">
        <f t="shared" si="36"/>
        <v>5.8500000000000003E-2</v>
      </c>
      <c r="N62" s="617">
        <f>(1.2/100)*I62</f>
        <v>2.4E-2</v>
      </c>
      <c r="O62" s="1071"/>
      <c r="P62" s="457">
        <v>2</v>
      </c>
      <c r="Q62" s="523">
        <v>-7.0000000000000001E-3</v>
      </c>
      <c r="R62" s="523">
        <v>9.9999999999999995E-7</v>
      </c>
      <c r="S62" s="523">
        <v>9.9999999999999995E-7</v>
      </c>
      <c r="T62" s="617">
        <f t="shared" si="37"/>
        <v>3.5005000000000001E-3</v>
      </c>
      <c r="U62" s="617">
        <f>(1.2/100)*P62</f>
        <v>2.4E-2</v>
      </c>
    </row>
    <row r="63" spans="1:21" ht="15.5" x14ac:dyDescent="0.25">
      <c r="A63" s="463"/>
      <c r="B63" s="464"/>
      <c r="C63" s="464"/>
      <c r="D63" s="465"/>
      <c r="E63" s="465"/>
      <c r="F63" s="465"/>
      <c r="H63" s="466"/>
      <c r="I63" s="467"/>
      <c r="J63" s="464"/>
      <c r="K63" s="465"/>
      <c r="L63" s="465"/>
      <c r="M63" s="465"/>
      <c r="O63" s="466"/>
      <c r="P63" s="464"/>
      <c r="Q63" s="464"/>
      <c r="T63" s="462"/>
    </row>
    <row r="64" spans="1:21" ht="14.5" customHeight="1" x14ac:dyDescent="0.25">
      <c r="A64" s="1068" t="s">
        <v>107</v>
      </c>
      <c r="B64" s="1072" t="s">
        <v>245</v>
      </c>
      <c r="C64" s="1072"/>
      <c r="D64" s="1072"/>
      <c r="E64" s="1072"/>
      <c r="F64" s="1072"/>
      <c r="G64" s="1072"/>
      <c r="H64" s="1071" t="s">
        <v>246</v>
      </c>
      <c r="I64" s="1072" t="s">
        <v>247</v>
      </c>
      <c r="J64" s="1072"/>
      <c r="K64" s="1072"/>
      <c r="L64" s="1072"/>
      <c r="M64" s="1072"/>
      <c r="N64" s="1072"/>
      <c r="O64" s="1071" t="s">
        <v>49</v>
      </c>
      <c r="P64" s="1072" t="s">
        <v>248</v>
      </c>
      <c r="Q64" s="1072"/>
      <c r="R64" s="1072"/>
      <c r="S64" s="1072"/>
      <c r="T64" s="1072"/>
      <c r="U64" s="1072"/>
    </row>
    <row r="65" spans="1:21" ht="14" x14ac:dyDescent="0.3">
      <c r="A65" s="1068"/>
      <c r="B65" s="1074" t="s">
        <v>231</v>
      </c>
      <c r="C65" s="1074"/>
      <c r="D65" s="1074"/>
      <c r="E65" s="1074"/>
      <c r="F65" s="1074"/>
      <c r="G65" s="1074"/>
      <c r="H65" s="1071"/>
      <c r="I65" s="1074" t="s">
        <v>231</v>
      </c>
      <c r="J65" s="1074"/>
      <c r="K65" s="1074"/>
      <c r="L65" s="1074"/>
      <c r="M65" s="1074"/>
      <c r="N65" s="1074"/>
      <c r="O65" s="1071"/>
      <c r="P65" s="1074" t="s">
        <v>231</v>
      </c>
      <c r="Q65" s="1074"/>
      <c r="R65" s="1074"/>
      <c r="S65" s="1074"/>
      <c r="T65" s="1074"/>
      <c r="U65" s="1074"/>
    </row>
    <row r="66" spans="1:21" ht="13" x14ac:dyDescent="0.25">
      <c r="A66" s="1068"/>
      <c r="B66" s="1041" t="s">
        <v>232</v>
      </c>
      <c r="C66" s="1041"/>
      <c r="D66" s="1041"/>
      <c r="E66" s="1041"/>
      <c r="F66" s="1041" t="s">
        <v>233</v>
      </c>
      <c r="G66" s="1041" t="s">
        <v>173</v>
      </c>
      <c r="H66" s="1071"/>
      <c r="I66" s="1041" t="str">
        <f>B66</f>
        <v>Setting VAC</v>
      </c>
      <c r="J66" s="1041"/>
      <c r="K66" s="1041"/>
      <c r="L66" s="1041"/>
      <c r="M66" s="1041" t="s">
        <v>233</v>
      </c>
      <c r="N66" s="1041" t="s">
        <v>173</v>
      </c>
      <c r="O66" s="1071"/>
      <c r="P66" s="1041" t="str">
        <f>B66</f>
        <v>Setting VAC</v>
      </c>
      <c r="Q66" s="1041"/>
      <c r="R66" s="1041"/>
      <c r="S66" s="1041"/>
      <c r="T66" s="1041" t="s">
        <v>233</v>
      </c>
      <c r="U66" s="1041" t="s">
        <v>173</v>
      </c>
    </row>
    <row r="67" spans="1:21" ht="14" x14ac:dyDescent="0.25">
      <c r="A67" s="1068"/>
      <c r="B67" s="452" t="s">
        <v>234</v>
      </c>
      <c r="C67" s="615">
        <v>2022</v>
      </c>
      <c r="D67" s="615">
        <v>2020</v>
      </c>
      <c r="E67" s="615">
        <v>2018</v>
      </c>
      <c r="F67" s="1041"/>
      <c r="G67" s="1041"/>
      <c r="H67" s="1071"/>
      <c r="I67" s="452" t="s">
        <v>234</v>
      </c>
      <c r="J67" s="615">
        <v>2022</v>
      </c>
      <c r="K67" s="615">
        <v>2020</v>
      </c>
      <c r="L67" s="615" t="s">
        <v>180</v>
      </c>
      <c r="M67" s="1041"/>
      <c r="N67" s="1041"/>
      <c r="O67" s="1071"/>
      <c r="P67" s="452" t="s">
        <v>234</v>
      </c>
      <c r="Q67" s="615">
        <v>2022</v>
      </c>
      <c r="R67" s="615">
        <v>2020</v>
      </c>
      <c r="S67" s="615" t="s">
        <v>180</v>
      </c>
      <c r="T67" s="1041"/>
      <c r="U67" s="1041"/>
    </row>
    <row r="68" spans="1:21" x14ac:dyDescent="0.25">
      <c r="A68" s="1068"/>
      <c r="B68" s="616">
        <v>150.21</v>
      </c>
      <c r="C68" s="523">
        <v>0.36</v>
      </c>
      <c r="D68" s="523">
        <v>0.21</v>
      </c>
      <c r="E68" s="523">
        <v>0.27</v>
      </c>
      <c r="F68" s="617">
        <f>0.5*(MAX(C68:E68)-MIN(C68:E68))</f>
        <v>7.4999999999999997E-2</v>
      </c>
      <c r="G68" s="617">
        <f t="shared" ref="G68:G73" si="38">(1.2/100)*B68</f>
        <v>1.8025200000000001</v>
      </c>
      <c r="H68" s="1071"/>
      <c r="I68" s="616">
        <v>150</v>
      </c>
      <c r="J68" s="523">
        <v>-0.17</v>
      </c>
      <c r="K68" s="523">
        <v>-0.24</v>
      </c>
      <c r="L68" s="523" t="s">
        <v>180</v>
      </c>
      <c r="M68" s="617">
        <f>0.5*(MAX(J68:L68)-MIN(J68:L68))</f>
        <v>3.4999999999999989E-2</v>
      </c>
      <c r="N68" s="617">
        <f t="shared" ref="N68:N73" si="39">(1.2/100)*I68</f>
        <v>1.8</v>
      </c>
      <c r="O68" s="1071"/>
      <c r="P68" s="616">
        <v>149.83000000000001</v>
      </c>
      <c r="Q68" s="523">
        <v>-0.08</v>
      </c>
      <c r="R68" s="523">
        <v>-0.17</v>
      </c>
      <c r="S68" s="523" t="s">
        <v>180</v>
      </c>
      <c r="T68" s="617">
        <f>0.5*(MAX(Q68:S68)-MIN(Q68:S68))</f>
        <v>4.5000000000000005E-2</v>
      </c>
      <c r="U68" s="617">
        <f t="shared" ref="U68:U73" si="40">(1.2/100)*P68</f>
        <v>1.7979600000000002</v>
      </c>
    </row>
    <row r="69" spans="1:21" x14ac:dyDescent="0.25">
      <c r="A69" s="1068"/>
      <c r="B69" s="616">
        <v>180.33</v>
      </c>
      <c r="C69" s="523">
        <v>0.46</v>
      </c>
      <c r="D69" s="523">
        <v>0.33</v>
      </c>
      <c r="E69" s="523">
        <v>0.37</v>
      </c>
      <c r="F69" s="617">
        <f t="shared" ref="F69:F73" si="41">0.5*(MAX(C69:E69)-MIN(C69:E69))</f>
        <v>6.5000000000000002E-2</v>
      </c>
      <c r="G69" s="617">
        <f t="shared" si="38"/>
        <v>2.1639600000000003</v>
      </c>
      <c r="H69" s="1071"/>
      <c r="I69" s="616">
        <v>180</v>
      </c>
      <c r="J69" s="523">
        <v>-0.39</v>
      </c>
      <c r="K69" s="523">
        <v>-0.14000000000000001</v>
      </c>
      <c r="L69" s="523" t="s">
        <v>180</v>
      </c>
      <c r="M69" s="617">
        <f t="shared" ref="M69:M73" si="42">0.5*(MAX(J69:L69)-MIN(J69:L69))</f>
        <v>0.125</v>
      </c>
      <c r="N69" s="617">
        <f t="shared" si="39"/>
        <v>2.16</v>
      </c>
      <c r="O69" s="1071"/>
      <c r="P69" s="616">
        <v>179.78</v>
      </c>
      <c r="Q69" s="523">
        <v>-0.2</v>
      </c>
      <c r="R69" s="523">
        <v>-0.22</v>
      </c>
      <c r="S69" s="523" t="s">
        <v>180</v>
      </c>
      <c r="T69" s="617">
        <f t="shared" ref="T69:T73" si="43">0.5*(MAX(Q69:S69)-MIN(Q69:S69))</f>
        <v>9.999999999999995E-3</v>
      </c>
      <c r="U69" s="617">
        <f t="shared" si="40"/>
        <v>2.1573600000000002</v>
      </c>
    </row>
    <row r="70" spans="1:21" x14ac:dyDescent="0.25">
      <c r="A70" s="1068"/>
      <c r="B70" s="543">
        <v>200.35</v>
      </c>
      <c r="C70" s="523">
        <v>0.52</v>
      </c>
      <c r="D70" s="523">
        <v>0.34</v>
      </c>
      <c r="E70" s="523">
        <v>0.4</v>
      </c>
      <c r="F70" s="617">
        <f t="shared" si="41"/>
        <v>0.09</v>
      </c>
      <c r="G70" s="617">
        <f t="shared" si="38"/>
        <v>2.4041999999999999</v>
      </c>
      <c r="H70" s="1071"/>
      <c r="I70" s="543">
        <v>200</v>
      </c>
      <c r="J70" s="523">
        <v>-0.23</v>
      </c>
      <c r="K70" s="523">
        <v>-0.33</v>
      </c>
      <c r="L70" s="523" t="s">
        <v>180</v>
      </c>
      <c r="M70" s="617">
        <f t="shared" si="42"/>
        <v>0.05</v>
      </c>
      <c r="N70" s="617">
        <f t="shared" si="39"/>
        <v>2.4</v>
      </c>
      <c r="O70" s="1071"/>
      <c r="P70" s="543">
        <v>199.67</v>
      </c>
      <c r="Q70" s="523">
        <v>-0.25</v>
      </c>
      <c r="R70" s="523">
        <v>-0.33</v>
      </c>
      <c r="S70" s="523" t="s">
        <v>180</v>
      </c>
      <c r="T70" s="617">
        <f t="shared" si="43"/>
        <v>4.0000000000000008E-2</v>
      </c>
      <c r="U70" s="617">
        <f t="shared" si="40"/>
        <v>2.3960399999999997</v>
      </c>
    </row>
    <row r="71" spans="1:21" x14ac:dyDescent="0.25">
      <c r="A71" s="1068"/>
      <c r="B71" s="543">
        <v>220.37</v>
      </c>
      <c r="C71" s="523">
        <v>0.57999999999999996</v>
      </c>
      <c r="D71" s="523">
        <v>0.37</v>
      </c>
      <c r="E71" s="523">
        <v>0.38</v>
      </c>
      <c r="F71" s="617">
        <f t="shared" si="41"/>
        <v>0.10499999999999998</v>
      </c>
      <c r="G71" s="617">
        <f t="shared" si="38"/>
        <v>2.6444399999999999</v>
      </c>
      <c r="H71" s="1071"/>
      <c r="I71" s="543">
        <v>220</v>
      </c>
      <c r="J71" s="523">
        <v>-0.16</v>
      </c>
      <c r="K71" s="523">
        <v>-0.45</v>
      </c>
      <c r="L71" s="523" t="s">
        <v>180</v>
      </c>
      <c r="M71" s="617">
        <f t="shared" si="42"/>
        <v>0.14500000000000002</v>
      </c>
      <c r="N71" s="617">
        <f t="shared" si="39"/>
        <v>2.64</v>
      </c>
      <c r="O71" s="1071"/>
      <c r="P71" s="543">
        <v>219.61</v>
      </c>
      <c r="Q71" s="523">
        <v>-0.28999999999999998</v>
      </c>
      <c r="R71" s="523">
        <v>-0.39</v>
      </c>
      <c r="S71" s="523" t="s">
        <v>180</v>
      </c>
      <c r="T71" s="617">
        <f t="shared" si="43"/>
        <v>5.0000000000000017E-2</v>
      </c>
      <c r="U71" s="617">
        <f t="shared" si="40"/>
        <v>2.6353200000000001</v>
      </c>
    </row>
    <row r="72" spans="1:21" x14ac:dyDescent="0.25">
      <c r="A72" s="1068"/>
      <c r="B72" s="543">
        <v>230.47</v>
      </c>
      <c r="C72" s="523">
        <v>0.47</v>
      </c>
      <c r="D72" s="523">
        <v>0.47</v>
      </c>
      <c r="E72" s="523">
        <v>0.4</v>
      </c>
      <c r="F72" s="617">
        <f t="shared" si="41"/>
        <v>3.4999999999999976E-2</v>
      </c>
      <c r="G72" s="617">
        <f t="shared" si="38"/>
        <v>2.7656399999999999</v>
      </c>
      <c r="H72" s="1071"/>
      <c r="I72" s="543">
        <v>230</v>
      </c>
      <c r="J72" s="523">
        <v>-0.15</v>
      </c>
      <c r="K72" s="523">
        <v>-0.54</v>
      </c>
      <c r="L72" s="523" t="s">
        <v>180</v>
      </c>
      <c r="M72" s="617">
        <f t="shared" si="42"/>
        <v>0.19500000000000001</v>
      </c>
      <c r="N72" s="617">
        <f t="shared" si="39"/>
        <v>2.7600000000000002</v>
      </c>
      <c r="O72" s="1071"/>
      <c r="P72" s="543">
        <v>229.61</v>
      </c>
      <c r="Q72" s="523">
        <v>-0.34</v>
      </c>
      <c r="R72" s="523">
        <v>-0.39</v>
      </c>
      <c r="S72" s="523" t="s">
        <v>180</v>
      </c>
      <c r="T72" s="617">
        <f t="shared" si="43"/>
        <v>2.4999999999999994E-2</v>
      </c>
      <c r="U72" s="617">
        <f t="shared" si="40"/>
        <v>2.7553200000000002</v>
      </c>
    </row>
    <row r="73" spans="1:21" x14ac:dyDescent="0.25">
      <c r="A73" s="1068"/>
      <c r="B73" s="543">
        <v>240.38</v>
      </c>
      <c r="C73" s="523">
        <v>9.9999999999999995E-7</v>
      </c>
      <c r="D73" s="523">
        <v>0.38</v>
      </c>
      <c r="E73" s="523">
        <v>9.9999999999999995E-7</v>
      </c>
      <c r="F73" s="617">
        <f t="shared" si="41"/>
        <v>0.18999950000000002</v>
      </c>
      <c r="G73" s="617">
        <f t="shared" si="38"/>
        <v>2.88456</v>
      </c>
      <c r="H73" s="1071"/>
      <c r="I73" s="543">
        <v>250</v>
      </c>
      <c r="J73" s="523">
        <v>9.9999999999999995E-7</v>
      </c>
      <c r="K73" s="523">
        <v>-0.49</v>
      </c>
      <c r="L73" s="523" t="s">
        <v>180</v>
      </c>
      <c r="M73" s="617">
        <f t="shared" si="42"/>
        <v>0.24500049999999998</v>
      </c>
      <c r="N73" s="617">
        <f t="shared" si="39"/>
        <v>3</v>
      </c>
      <c r="O73" s="1071"/>
      <c r="P73" s="543">
        <v>239.61</v>
      </c>
      <c r="Q73" s="523">
        <v>9.9999999999999995E-7</v>
      </c>
      <c r="R73" s="523">
        <v>-0.39</v>
      </c>
      <c r="S73" s="523" t="s">
        <v>180</v>
      </c>
      <c r="T73" s="617">
        <f t="shared" si="43"/>
        <v>0.19500049999999999</v>
      </c>
      <c r="U73" s="617">
        <f t="shared" si="40"/>
        <v>2.8753200000000003</v>
      </c>
    </row>
    <row r="74" spans="1:21" ht="12.75" customHeight="1" x14ac:dyDescent="0.25">
      <c r="A74" s="1068"/>
      <c r="B74" s="1047" t="s">
        <v>235</v>
      </c>
      <c r="C74" s="1047"/>
      <c r="D74" s="1047"/>
      <c r="E74" s="1047"/>
      <c r="F74" s="1041" t="s">
        <v>233</v>
      </c>
      <c r="G74" s="1041" t="s">
        <v>173</v>
      </c>
      <c r="H74" s="1071"/>
      <c r="I74" s="1047" t="str">
        <f>B74</f>
        <v>Current Leakage</v>
      </c>
      <c r="J74" s="1047"/>
      <c r="K74" s="1047"/>
      <c r="L74" s="1047"/>
      <c r="M74" s="1041" t="s">
        <v>233</v>
      </c>
      <c r="N74" s="1041" t="s">
        <v>173</v>
      </c>
      <c r="O74" s="1071"/>
      <c r="P74" s="1047" t="str">
        <f>B74</f>
        <v>Current Leakage</v>
      </c>
      <c r="Q74" s="1047"/>
      <c r="R74" s="1047"/>
      <c r="S74" s="1047"/>
      <c r="T74" s="1041" t="s">
        <v>233</v>
      </c>
      <c r="U74" s="1041" t="s">
        <v>173</v>
      </c>
    </row>
    <row r="75" spans="1:21" ht="14" x14ac:dyDescent="0.25">
      <c r="A75" s="1068"/>
      <c r="B75" s="452" t="s">
        <v>236</v>
      </c>
      <c r="C75" s="615">
        <f>C67</f>
        <v>2022</v>
      </c>
      <c r="D75" s="615">
        <f>D67</f>
        <v>2020</v>
      </c>
      <c r="E75" s="615">
        <f>E67</f>
        <v>2018</v>
      </c>
      <c r="F75" s="1041"/>
      <c r="G75" s="1041"/>
      <c r="H75" s="1071"/>
      <c r="I75" s="452" t="s">
        <v>236</v>
      </c>
      <c r="J75" s="615">
        <f>J67</f>
        <v>2022</v>
      </c>
      <c r="K75" s="615">
        <f>K67</f>
        <v>2020</v>
      </c>
      <c r="L75" s="615" t="str">
        <f>L67</f>
        <v>-</v>
      </c>
      <c r="M75" s="1041"/>
      <c r="N75" s="1041"/>
      <c r="O75" s="1071"/>
      <c r="P75" s="452" t="s">
        <v>236</v>
      </c>
      <c r="Q75" s="615">
        <f>Q67</f>
        <v>2022</v>
      </c>
      <c r="R75" s="615">
        <f>R67</f>
        <v>2020</v>
      </c>
      <c r="S75" s="615" t="str">
        <f>S67</f>
        <v>-</v>
      </c>
      <c r="T75" s="1041"/>
      <c r="U75" s="1041"/>
    </row>
    <row r="76" spans="1:21" x14ac:dyDescent="0.25">
      <c r="A76" s="1068"/>
      <c r="B76" s="543">
        <v>9.9999999999999995E-7</v>
      </c>
      <c r="C76" s="523">
        <v>9.9999999999999995E-7</v>
      </c>
      <c r="D76" s="523">
        <v>9.9999999999999995E-7</v>
      </c>
      <c r="E76" s="523">
        <v>9.9999999999999995E-7</v>
      </c>
      <c r="F76" s="617">
        <v>9.9999999999999995E-7</v>
      </c>
      <c r="G76" s="617">
        <f>(0.59/100)*B76</f>
        <v>5.8999999999999999E-9</v>
      </c>
      <c r="H76" s="1071"/>
      <c r="I76" s="543">
        <v>9.9999999999999995E-7</v>
      </c>
      <c r="J76" s="523">
        <v>9.9999999999999995E-7</v>
      </c>
      <c r="K76" s="523">
        <v>9.9999999999999995E-7</v>
      </c>
      <c r="L76" s="523" t="s">
        <v>180</v>
      </c>
      <c r="M76" s="617">
        <v>9.9999999999999995E-7</v>
      </c>
      <c r="N76" s="617">
        <f t="shared" ref="N76:N81" si="44">(0.59/100)*I76</f>
        <v>5.8999999999999999E-9</v>
      </c>
      <c r="O76" s="1071"/>
      <c r="P76" s="543">
        <v>9.9999999999999995E-7</v>
      </c>
      <c r="Q76" s="523">
        <v>9.9999999999999995E-7</v>
      </c>
      <c r="R76" s="523">
        <v>9.9999999999999995E-7</v>
      </c>
      <c r="S76" s="523" t="s">
        <v>180</v>
      </c>
      <c r="T76" s="617">
        <v>9.9999999999999995E-7</v>
      </c>
      <c r="U76" s="617">
        <f>(0.59/100)*P76</f>
        <v>5.8999999999999999E-9</v>
      </c>
    </row>
    <row r="77" spans="1:21" x14ac:dyDescent="0.25">
      <c r="A77" s="1068"/>
      <c r="B77" s="543">
        <v>50</v>
      </c>
      <c r="C77" s="523">
        <v>1.9</v>
      </c>
      <c r="D77" s="523">
        <v>1.7</v>
      </c>
      <c r="E77" s="523">
        <v>2.1</v>
      </c>
      <c r="F77" s="617">
        <f t="shared" ref="F77:F81" si="45">0.5*(MAX(C77:E77)-MIN(C77:E77))</f>
        <v>0.20000000000000007</v>
      </c>
      <c r="G77" s="617">
        <f t="shared" ref="G77:G81" si="46">(0.59/100)*B77</f>
        <v>0.29499999999999998</v>
      </c>
      <c r="H77" s="1071"/>
      <c r="I77" s="543">
        <v>20</v>
      </c>
      <c r="J77" s="523">
        <v>6.6</v>
      </c>
      <c r="K77" s="523">
        <v>0.9</v>
      </c>
      <c r="L77" s="523" t="s">
        <v>180</v>
      </c>
      <c r="M77" s="617">
        <f t="shared" ref="M77:M81" si="47">0.5*(MAX(J77:L77)-MIN(J77:L77))</f>
        <v>2.8499999999999996</v>
      </c>
      <c r="N77" s="617">
        <f t="shared" si="44"/>
        <v>0.11799999999999999</v>
      </c>
      <c r="O77" s="1071"/>
      <c r="P77" s="543">
        <v>20.8</v>
      </c>
      <c r="Q77" s="523">
        <v>4.9000000000000004</v>
      </c>
      <c r="R77" s="523">
        <v>0.8</v>
      </c>
      <c r="S77" s="523" t="s">
        <v>180</v>
      </c>
      <c r="T77" s="617">
        <f t="shared" ref="T77:T81" si="48">0.5*(MAX(Q77:S77)-MIN(Q77:S77))</f>
        <v>2.0500000000000003</v>
      </c>
      <c r="U77" s="617">
        <f t="shared" ref="U77:U81" si="49">(0.59/100)*P77</f>
        <v>0.12272</v>
      </c>
    </row>
    <row r="78" spans="1:21" x14ac:dyDescent="0.25">
      <c r="A78" s="1068"/>
      <c r="B78" s="543">
        <v>100</v>
      </c>
      <c r="C78" s="523">
        <v>1.7</v>
      </c>
      <c r="D78" s="523">
        <v>1.7</v>
      </c>
      <c r="E78" s="523">
        <v>2.2000000000000002</v>
      </c>
      <c r="F78" s="617">
        <f t="shared" si="45"/>
        <v>0.25000000000000011</v>
      </c>
      <c r="G78" s="617">
        <f t="shared" si="46"/>
        <v>0.59</v>
      </c>
      <c r="H78" s="1071"/>
      <c r="I78" s="543">
        <v>50</v>
      </c>
      <c r="J78" s="523">
        <v>5</v>
      </c>
      <c r="K78" s="523">
        <v>2.1</v>
      </c>
      <c r="L78" s="523" t="s">
        <v>180</v>
      </c>
      <c r="M78" s="617">
        <f t="shared" si="47"/>
        <v>1.45</v>
      </c>
      <c r="N78" s="617">
        <f t="shared" si="44"/>
        <v>0.29499999999999998</v>
      </c>
      <c r="O78" s="1071"/>
      <c r="P78" s="543">
        <v>51.7</v>
      </c>
      <c r="Q78" s="523">
        <v>9.1999999999999993</v>
      </c>
      <c r="R78" s="523">
        <v>1.7</v>
      </c>
      <c r="S78" s="523" t="s">
        <v>180</v>
      </c>
      <c r="T78" s="617">
        <f t="shared" si="48"/>
        <v>3.7499999999999996</v>
      </c>
      <c r="U78" s="617">
        <f t="shared" si="49"/>
        <v>0.30503000000000002</v>
      </c>
    </row>
    <row r="79" spans="1:21" x14ac:dyDescent="0.25">
      <c r="A79" s="1068"/>
      <c r="B79" s="543">
        <v>200.4</v>
      </c>
      <c r="C79" s="523">
        <v>1.5</v>
      </c>
      <c r="D79" s="523">
        <v>0.4</v>
      </c>
      <c r="E79" s="523">
        <v>2.4</v>
      </c>
      <c r="F79" s="617">
        <f t="shared" si="45"/>
        <v>1</v>
      </c>
      <c r="G79" s="617">
        <f t="shared" si="46"/>
        <v>1.1823600000000001</v>
      </c>
      <c r="H79" s="1071"/>
      <c r="I79" s="543">
        <v>200</v>
      </c>
      <c r="J79" s="523">
        <v>-8.1999999999999993</v>
      </c>
      <c r="K79" s="523">
        <v>3.7</v>
      </c>
      <c r="L79" s="523" t="s">
        <v>180</v>
      </c>
      <c r="M79" s="617">
        <f t="shared" si="47"/>
        <v>5.9499999999999993</v>
      </c>
      <c r="N79" s="617">
        <f t="shared" si="44"/>
        <v>1.18</v>
      </c>
      <c r="O79" s="1071"/>
      <c r="P79" s="543">
        <v>103.4</v>
      </c>
      <c r="Q79" s="523">
        <v>7.7</v>
      </c>
      <c r="R79" s="523">
        <v>3.4</v>
      </c>
      <c r="S79" s="523" t="s">
        <v>180</v>
      </c>
      <c r="T79" s="617">
        <f t="shared" si="48"/>
        <v>2.1500000000000004</v>
      </c>
      <c r="U79" s="617">
        <f t="shared" si="49"/>
        <v>0.61006000000000005</v>
      </c>
    </row>
    <row r="80" spans="1:21" x14ac:dyDescent="0.25">
      <c r="A80" s="1068"/>
      <c r="B80" s="543">
        <v>500</v>
      </c>
      <c r="C80" s="523">
        <v>0.9</v>
      </c>
      <c r="D80" s="523">
        <v>3</v>
      </c>
      <c r="E80" s="523">
        <v>3.3</v>
      </c>
      <c r="F80" s="617">
        <f t="shared" si="45"/>
        <v>1.2</v>
      </c>
      <c r="G80" s="617">
        <f t="shared" si="46"/>
        <v>2.9499999999999997</v>
      </c>
      <c r="H80" s="1071"/>
      <c r="I80" s="543">
        <v>500</v>
      </c>
      <c r="J80" s="523">
        <v>-31.8</v>
      </c>
      <c r="K80" s="523">
        <v>8.3000000000000007</v>
      </c>
      <c r="L80" s="523" t="s">
        <v>180</v>
      </c>
      <c r="M80" s="617">
        <f t="shared" si="47"/>
        <v>20.05</v>
      </c>
      <c r="N80" s="617">
        <f t="shared" si="44"/>
        <v>2.9499999999999997</v>
      </c>
      <c r="O80" s="1071"/>
      <c r="P80" s="543">
        <v>507.2</v>
      </c>
      <c r="Q80" s="523">
        <v>-0.2</v>
      </c>
      <c r="R80" s="523">
        <v>7.2</v>
      </c>
      <c r="S80" s="523" t="s">
        <v>180</v>
      </c>
      <c r="T80" s="617">
        <f t="shared" si="48"/>
        <v>3.7</v>
      </c>
      <c r="U80" s="617">
        <f t="shared" si="49"/>
        <v>2.99248</v>
      </c>
    </row>
    <row r="81" spans="1:21" x14ac:dyDescent="0.25">
      <c r="A81" s="1068"/>
      <c r="B81" s="543">
        <v>1000</v>
      </c>
      <c r="C81" s="523">
        <v>-10</v>
      </c>
      <c r="D81" s="523">
        <v>9.9999999999999995E-7</v>
      </c>
      <c r="E81" s="523">
        <v>9.9999999999999995E-7</v>
      </c>
      <c r="F81" s="617">
        <f t="shared" si="45"/>
        <v>5.0000004999999996</v>
      </c>
      <c r="G81" s="617">
        <f t="shared" si="46"/>
        <v>5.8999999999999995</v>
      </c>
      <c r="H81" s="1071"/>
      <c r="I81" s="543">
        <v>1000</v>
      </c>
      <c r="J81" s="523">
        <v>-74</v>
      </c>
      <c r="K81" s="523">
        <v>9.9999999999999995E-7</v>
      </c>
      <c r="L81" s="523" t="s">
        <v>180</v>
      </c>
      <c r="M81" s="617">
        <f t="shared" si="47"/>
        <v>37.000000499999999</v>
      </c>
      <c r="N81" s="617">
        <f t="shared" si="44"/>
        <v>5.8999999999999995</v>
      </c>
      <c r="O81" s="1071"/>
      <c r="P81" s="543">
        <v>920</v>
      </c>
      <c r="Q81" s="523">
        <v>-66</v>
      </c>
      <c r="R81" s="523">
        <v>9.9999999999999995E-7</v>
      </c>
      <c r="S81" s="523" t="s">
        <v>180</v>
      </c>
      <c r="T81" s="617">
        <f t="shared" si="48"/>
        <v>33.000000499999999</v>
      </c>
      <c r="U81" s="617">
        <f t="shared" si="49"/>
        <v>5.4279999999999999</v>
      </c>
    </row>
    <row r="82" spans="1:21" ht="13" x14ac:dyDescent="0.25">
      <c r="A82" s="1068"/>
      <c r="B82" s="1047" t="s">
        <v>237</v>
      </c>
      <c r="C82" s="1047"/>
      <c r="D82" s="1047"/>
      <c r="E82" s="1047"/>
      <c r="F82" s="1041" t="s">
        <v>233</v>
      </c>
      <c r="G82" s="1041" t="s">
        <v>173</v>
      </c>
      <c r="H82" s="1071"/>
      <c r="I82" s="1047" t="s">
        <v>237</v>
      </c>
      <c r="J82" s="1047"/>
      <c r="K82" s="1047"/>
      <c r="L82" s="1047"/>
      <c r="M82" s="1041" t="s">
        <v>233</v>
      </c>
      <c r="N82" s="1041" t="s">
        <v>173</v>
      </c>
      <c r="O82" s="1071"/>
      <c r="P82" s="1047" t="str">
        <f>B82</f>
        <v>Main-PE</v>
      </c>
      <c r="Q82" s="1047"/>
      <c r="R82" s="1047"/>
      <c r="S82" s="1047"/>
      <c r="T82" s="1041" t="s">
        <v>233</v>
      </c>
      <c r="U82" s="1041" t="s">
        <v>173</v>
      </c>
    </row>
    <row r="83" spans="1:21" ht="14.5" x14ac:dyDescent="0.25">
      <c r="A83" s="1068"/>
      <c r="B83" s="452" t="s">
        <v>335</v>
      </c>
      <c r="C83" s="615">
        <f>C67</f>
        <v>2022</v>
      </c>
      <c r="D83" s="615">
        <f>D67</f>
        <v>2020</v>
      </c>
      <c r="E83" s="615">
        <f>E67</f>
        <v>2018</v>
      </c>
      <c r="F83" s="1041"/>
      <c r="G83" s="1041"/>
      <c r="H83" s="1071"/>
      <c r="I83" s="452" t="s">
        <v>335</v>
      </c>
      <c r="J83" s="615">
        <f>J67</f>
        <v>2022</v>
      </c>
      <c r="K83" s="615">
        <f>K67</f>
        <v>2020</v>
      </c>
      <c r="L83" s="615" t="str">
        <f>L67</f>
        <v>-</v>
      </c>
      <c r="M83" s="1041"/>
      <c r="N83" s="1041"/>
      <c r="O83" s="1071"/>
      <c r="P83" s="452" t="s">
        <v>335</v>
      </c>
      <c r="Q83" s="615">
        <f>Q67</f>
        <v>2022</v>
      </c>
      <c r="R83" s="615">
        <f>R67</f>
        <v>2020</v>
      </c>
      <c r="S83" s="615" t="str">
        <f>S67</f>
        <v>-</v>
      </c>
      <c r="T83" s="1041"/>
      <c r="U83" s="1041"/>
    </row>
    <row r="84" spans="1:21" x14ac:dyDescent="0.25">
      <c r="A84" s="1068"/>
      <c r="B84" s="543">
        <v>10</v>
      </c>
      <c r="C84" s="523">
        <v>9.9999999999999995E-7</v>
      </c>
      <c r="D84" s="523">
        <v>9.9999999999999995E-7</v>
      </c>
      <c r="E84" s="523">
        <v>9.9999999999999995E-7</v>
      </c>
      <c r="F84" s="617">
        <v>9.9999999999999995E-7</v>
      </c>
      <c r="G84" s="617">
        <f>(1.7/100)*B84</f>
        <v>0.17</v>
      </c>
      <c r="H84" s="1071"/>
      <c r="I84" s="543">
        <v>10</v>
      </c>
      <c r="J84" s="523">
        <v>9.9999999999999995E-7</v>
      </c>
      <c r="K84" s="523">
        <v>9.9999999999999995E-7</v>
      </c>
      <c r="L84" s="523" t="s">
        <v>180</v>
      </c>
      <c r="M84" s="617">
        <v>9.9999999999999995E-7</v>
      </c>
      <c r="N84" s="617">
        <f>(1.7/100)*I84</f>
        <v>0.17</v>
      </c>
      <c r="O84" s="1071"/>
      <c r="P84" s="543">
        <v>10</v>
      </c>
      <c r="Q84" s="523">
        <v>9.9999999999999995E-7</v>
      </c>
      <c r="R84" s="523">
        <v>9.9999999999999995E-7</v>
      </c>
      <c r="S84" s="523" t="s">
        <v>180</v>
      </c>
      <c r="T84" s="617">
        <v>9.9999999999999995E-7</v>
      </c>
      <c r="U84" s="617">
        <f>(1.7/100)*P84</f>
        <v>0.17</v>
      </c>
    </row>
    <row r="85" spans="1:21" x14ac:dyDescent="0.25">
      <c r="A85" s="1068"/>
      <c r="B85" s="543">
        <v>20</v>
      </c>
      <c r="C85" s="523">
        <v>0.1</v>
      </c>
      <c r="D85" s="523">
        <v>9.9999999999999995E-7</v>
      </c>
      <c r="E85" s="523">
        <v>0.1</v>
      </c>
      <c r="F85" s="617">
        <f t="shared" ref="F85:F87" si="50">0.5*(MAX(C85:E85)-MIN(C85:E85))</f>
        <v>4.9999500000000002E-2</v>
      </c>
      <c r="G85" s="617">
        <f>(1.7/100)*B85</f>
        <v>0.34</v>
      </c>
      <c r="H85" s="1071"/>
      <c r="I85" s="543">
        <v>20</v>
      </c>
      <c r="J85" s="523">
        <v>9.9999999999999995E-7</v>
      </c>
      <c r="K85" s="523">
        <v>9.9999999999999995E-7</v>
      </c>
      <c r="L85" s="523" t="s">
        <v>180</v>
      </c>
      <c r="M85" s="617">
        <v>9.9999999999999995E-7</v>
      </c>
      <c r="N85" s="617">
        <f t="shared" ref="N85:N87" si="51">(1.7/100)*I85</f>
        <v>0.34</v>
      </c>
      <c r="O85" s="1071"/>
      <c r="P85" s="543">
        <v>20</v>
      </c>
      <c r="Q85" s="523">
        <v>9.9999999999999995E-7</v>
      </c>
      <c r="R85" s="523">
        <v>9.9999999999999995E-7</v>
      </c>
      <c r="S85" s="523" t="s">
        <v>180</v>
      </c>
      <c r="T85" s="617">
        <v>9.9999999999999995E-7</v>
      </c>
      <c r="U85" s="617">
        <f t="shared" ref="U85:U87" si="52">(1.7/100)*P85</f>
        <v>0.34</v>
      </c>
    </row>
    <row r="86" spans="1:21" x14ac:dyDescent="0.25">
      <c r="A86" s="1068"/>
      <c r="B86" s="543">
        <v>50</v>
      </c>
      <c r="C86" s="523">
        <v>0.5</v>
      </c>
      <c r="D86" s="523">
        <v>9.9999999999999995E-7</v>
      </c>
      <c r="E86" s="523">
        <v>0.4</v>
      </c>
      <c r="F86" s="617">
        <f t="shared" si="50"/>
        <v>0.24999950000000001</v>
      </c>
      <c r="G86" s="617">
        <f>(1.7/100)*B86</f>
        <v>0.85000000000000009</v>
      </c>
      <c r="H86" s="1071"/>
      <c r="I86" s="543">
        <v>50</v>
      </c>
      <c r="J86" s="523">
        <v>0.2</v>
      </c>
      <c r="K86" s="523">
        <v>9.9999999999999995E-7</v>
      </c>
      <c r="L86" s="523" t="s">
        <v>180</v>
      </c>
      <c r="M86" s="617">
        <f t="shared" ref="M86:M87" si="53">0.5*(MAX(J86:L86)-MIN(J86:L86))</f>
        <v>9.9999500000000005E-2</v>
      </c>
      <c r="N86" s="617">
        <f t="shared" si="51"/>
        <v>0.85000000000000009</v>
      </c>
      <c r="O86" s="1071"/>
      <c r="P86" s="543">
        <v>50</v>
      </c>
      <c r="Q86" s="523">
        <v>0.2</v>
      </c>
      <c r="R86" s="523">
        <v>9.9999999999999995E-7</v>
      </c>
      <c r="S86" s="523" t="s">
        <v>180</v>
      </c>
      <c r="T86" s="617">
        <f t="shared" ref="T86:T87" si="54">0.5*(MAX(Q86:S86)-MIN(Q86:S86))</f>
        <v>9.9999500000000005E-2</v>
      </c>
      <c r="U86" s="617">
        <f t="shared" si="52"/>
        <v>0.85000000000000009</v>
      </c>
    </row>
    <row r="87" spans="1:21" x14ac:dyDescent="0.25">
      <c r="A87" s="1068"/>
      <c r="B87" s="543">
        <v>100</v>
      </c>
      <c r="C87" s="523">
        <v>0.9</v>
      </c>
      <c r="D87" s="523">
        <v>9.9999999999999995E-7</v>
      </c>
      <c r="E87" s="523">
        <v>1.4</v>
      </c>
      <c r="F87" s="617">
        <f t="shared" si="50"/>
        <v>0.6999995</v>
      </c>
      <c r="G87" s="617">
        <f>(1.7/100)*B87</f>
        <v>1.7000000000000002</v>
      </c>
      <c r="H87" s="1071"/>
      <c r="I87" s="543">
        <v>100</v>
      </c>
      <c r="J87" s="523">
        <v>0.4</v>
      </c>
      <c r="K87" s="523">
        <v>9.9999999999999995E-7</v>
      </c>
      <c r="L87" s="523" t="s">
        <v>180</v>
      </c>
      <c r="M87" s="617">
        <f t="shared" si="53"/>
        <v>0.19999950000000002</v>
      </c>
      <c r="N87" s="617">
        <f t="shared" si="51"/>
        <v>1.7000000000000002</v>
      </c>
      <c r="O87" s="1071"/>
      <c r="P87" s="543">
        <v>100</v>
      </c>
      <c r="Q87" s="523">
        <v>0.6</v>
      </c>
      <c r="R87" s="523">
        <v>9.9999999999999995E-7</v>
      </c>
      <c r="S87" s="523" t="s">
        <v>180</v>
      </c>
      <c r="T87" s="617">
        <f t="shared" si="54"/>
        <v>0.29999949999999997</v>
      </c>
      <c r="U87" s="617">
        <f t="shared" si="52"/>
        <v>1.7000000000000002</v>
      </c>
    </row>
    <row r="88" spans="1:21" ht="12.75" customHeight="1" x14ac:dyDescent="0.25">
      <c r="A88" s="1068"/>
      <c r="B88" s="1047" t="s">
        <v>238</v>
      </c>
      <c r="C88" s="1047"/>
      <c r="D88" s="1047"/>
      <c r="E88" s="1047"/>
      <c r="F88" s="1041" t="s">
        <v>233</v>
      </c>
      <c r="G88" s="1041" t="s">
        <v>173</v>
      </c>
      <c r="H88" s="1071"/>
      <c r="I88" s="1047" t="s">
        <v>238</v>
      </c>
      <c r="J88" s="1047"/>
      <c r="K88" s="1047"/>
      <c r="L88" s="1047"/>
      <c r="M88" s="1041" t="s">
        <v>233</v>
      </c>
      <c r="N88" s="1041" t="s">
        <v>173</v>
      </c>
      <c r="O88" s="1071"/>
      <c r="P88" s="1047" t="str">
        <f>B88</f>
        <v>Resistance</v>
      </c>
      <c r="Q88" s="1047"/>
      <c r="R88" s="1047"/>
      <c r="S88" s="1047"/>
      <c r="T88" s="1041" t="s">
        <v>233</v>
      </c>
      <c r="U88" s="1041" t="s">
        <v>173</v>
      </c>
    </row>
    <row r="89" spans="1:21" ht="14.5" x14ac:dyDescent="0.25">
      <c r="A89" s="1068"/>
      <c r="B89" s="452" t="s">
        <v>336</v>
      </c>
      <c r="C89" s="615">
        <f>C67</f>
        <v>2022</v>
      </c>
      <c r="D89" s="615">
        <f>D67</f>
        <v>2020</v>
      </c>
      <c r="E89" s="615">
        <f>E67</f>
        <v>2018</v>
      </c>
      <c r="F89" s="1041"/>
      <c r="G89" s="1041"/>
      <c r="H89" s="1071"/>
      <c r="I89" s="452" t="s">
        <v>336</v>
      </c>
      <c r="J89" s="615">
        <f>J67</f>
        <v>2022</v>
      </c>
      <c r="K89" s="615">
        <f>K67</f>
        <v>2020</v>
      </c>
      <c r="L89" s="615" t="str">
        <f>L67</f>
        <v>-</v>
      </c>
      <c r="M89" s="1041"/>
      <c r="N89" s="1041"/>
      <c r="O89" s="1071"/>
      <c r="P89" s="452" t="s">
        <v>336</v>
      </c>
      <c r="Q89" s="615">
        <f>Q67</f>
        <v>2022</v>
      </c>
      <c r="R89" s="615">
        <f>R67</f>
        <v>2020</v>
      </c>
      <c r="S89" s="615" t="str">
        <f>S67</f>
        <v>-</v>
      </c>
      <c r="T89" s="1041"/>
      <c r="U89" s="1041"/>
    </row>
    <row r="90" spans="1:21" x14ac:dyDescent="0.25">
      <c r="A90" s="1068"/>
      <c r="B90" s="457">
        <v>0.01</v>
      </c>
      <c r="C90" s="523">
        <v>9.9999999999999995E-7</v>
      </c>
      <c r="D90" s="523">
        <v>9.9999999999999995E-7</v>
      </c>
      <c r="E90" s="523">
        <v>9.9999999999999995E-7</v>
      </c>
      <c r="F90" s="617">
        <v>9.9999999999999995E-7</v>
      </c>
      <c r="G90" s="617">
        <f>(1.2/100)*B90</f>
        <v>1.2E-4</v>
      </c>
      <c r="H90" s="1071"/>
      <c r="I90" s="457">
        <v>0.1</v>
      </c>
      <c r="J90" s="523">
        <v>-1E-3</v>
      </c>
      <c r="K90" s="523">
        <v>-1E-3</v>
      </c>
      <c r="L90" s="523" t="s">
        <v>180</v>
      </c>
      <c r="M90" s="617">
        <v>9.9999999999999995E-7</v>
      </c>
      <c r="N90" s="617">
        <f>(1.2/100)*I90</f>
        <v>1.2000000000000001E-3</v>
      </c>
      <c r="O90" s="1071"/>
      <c r="P90" s="457">
        <v>1E-3</v>
      </c>
      <c r="Q90" s="523">
        <v>-2E-3</v>
      </c>
      <c r="R90" s="523">
        <v>-1E-3</v>
      </c>
      <c r="S90" s="523" t="s">
        <v>180</v>
      </c>
      <c r="T90" s="617">
        <f>0.5*(MAX(Q90:S90)-MIN(Q90:S90))</f>
        <v>5.0000000000000001E-4</v>
      </c>
      <c r="U90" s="617">
        <f>(1.2/100)*P90</f>
        <v>1.2E-5</v>
      </c>
    </row>
    <row r="91" spans="1:21" x14ac:dyDescent="0.25">
      <c r="A91" s="1068"/>
      <c r="B91" s="457">
        <v>0.5</v>
      </c>
      <c r="C91" s="523">
        <v>3.0000000000000001E-3</v>
      </c>
      <c r="D91" s="523">
        <v>9.9999999999999995E-7</v>
      </c>
      <c r="E91" s="523">
        <v>1E-3</v>
      </c>
      <c r="F91" s="617">
        <f t="shared" ref="F91:F93" si="55">0.5*(MAX(C91:E91)-MIN(C91:E91))</f>
        <v>1.4995E-3</v>
      </c>
      <c r="G91" s="617">
        <f t="shared" ref="G91:G93" si="56">(1.2/100)*B91</f>
        <v>6.0000000000000001E-3</v>
      </c>
      <c r="H91" s="1071"/>
      <c r="I91" s="457">
        <v>0.5</v>
      </c>
      <c r="J91" s="523">
        <v>4.0000000000000001E-3</v>
      </c>
      <c r="K91" s="523">
        <v>-3.0000000000000001E-3</v>
      </c>
      <c r="L91" s="523" t="s">
        <v>180</v>
      </c>
      <c r="M91" s="617">
        <f t="shared" ref="M91:M93" si="57">0.5*(MAX(J91:L91)-MIN(J91:L91))</f>
        <v>3.5000000000000001E-3</v>
      </c>
      <c r="N91" s="617">
        <f>(1.2/100)*I91</f>
        <v>6.0000000000000001E-3</v>
      </c>
      <c r="O91" s="1071"/>
      <c r="P91" s="457">
        <v>0.10199999999999999</v>
      </c>
      <c r="Q91" s="523">
        <v>1E-3</v>
      </c>
      <c r="R91" s="523">
        <v>-2E-3</v>
      </c>
      <c r="S91" s="523" t="s">
        <v>180</v>
      </c>
      <c r="T91" s="617">
        <f t="shared" ref="T91:T93" si="58">0.5*(MAX(Q91:S91)-MIN(Q91:S91))</f>
        <v>1.5E-3</v>
      </c>
      <c r="U91" s="617">
        <f>(1.2/100)*P91</f>
        <v>1.224E-3</v>
      </c>
    </row>
    <row r="92" spans="1:21" x14ac:dyDescent="0.25">
      <c r="A92" s="1068"/>
      <c r="B92" s="457">
        <v>1</v>
      </c>
      <c r="C92" s="523">
        <v>2E-3</v>
      </c>
      <c r="D92" s="523">
        <v>-2E-3</v>
      </c>
      <c r="E92" s="523">
        <v>1E-3</v>
      </c>
      <c r="F92" s="617">
        <f t="shared" si="55"/>
        <v>2E-3</v>
      </c>
      <c r="G92" s="617">
        <f t="shared" si="56"/>
        <v>1.2E-2</v>
      </c>
      <c r="H92" s="1071"/>
      <c r="I92" s="457">
        <v>1</v>
      </c>
      <c r="J92" s="523">
        <v>5.0000000000000001E-3</v>
      </c>
      <c r="K92" s="523">
        <v>1E-3</v>
      </c>
      <c r="L92" s="523" t="s">
        <v>180</v>
      </c>
      <c r="M92" s="617">
        <f t="shared" si="57"/>
        <v>2E-3</v>
      </c>
      <c r="N92" s="617">
        <f>(1.2/100)*I92</f>
        <v>1.2E-2</v>
      </c>
      <c r="O92" s="1071"/>
      <c r="P92" s="457">
        <v>0.5</v>
      </c>
      <c r="Q92" s="523">
        <v>4.0000000000000001E-3</v>
      </c>
      <c r="R92" s="523">
        <v>9.9999999999999995E-7</v>
      </c>
      <c r="S92" s="523" t="s">
        <v>180</v>
      </c>
      <c r="T92" s="617">
        <f t="shared" si="58"/>
        <v>1.9995E-3</v>
      </c>
      <c r="U92" s="617">
        <f>(1.2/100)*P92</f>
        <v>6.0000000000000001E-3</v>
      </c>
    </row>
    <row r="93" spans="1:21" x14ac:dyDescent="0.25">
      <c r="A93" s="1068"/>
      <c r="B93" s="457">
        <v>2</v>
      </c>
      <c r="C93" s="523">
        <v>-1E-3</v>
      </c>
      <c r="D93" s="523">
        <v>9.9999999999999995E-7</v>
      </c>
      <c r="E93" s="523">
        <v>9.9999999999999995E-7</v>
      </c>
      <c r="F93" s="617">
        <f t="shared" si="55"/>
        <v>5.0049999999999997E-4</v>
      </c>
      <c r="G93" s="617">
        <f t="shared" si="56"/>
        <v>2.4E-2</v>
      </c>
      <c r="H93" s="1071"/>
      <c r="I93" s="457">
        <v>2</v>
      </c>
      <c r="J93" s="523">
        <v>5.0000000000000001E-3</v>
      </c>
      <c r="K93" s="523">
        <v>-1E-3</v>
      </c>
      <c r="L93" s="523" t="s">
        <v>180</v>
      </c>
      <c r="M93" s="617">
        <f t="shared" si="57"/>
        <v>3.0000000000000001E-3</v>
      </c>
      <c r="N93" s="617">
        <f>(1.2/100)*I93</f>
        <v>2.4E-2</v>
      </c>
      <c r="O93" s="1071"/>
      <c r="P93" s="457">
        <v>1</v>
      </c>
      <c r="Q93" s="523">
        <v>9.9999999999999995E-7</v>
      </c>
      <c r="R93" s="523">
        <v>-1E-3</v>
      </c>
      <c r="S93" s="523" t="s">
        <v>180</v>
      </c>
      <c r="T93" s="617">
        <f t="shared" si="58"/>
        <v>5.0049999999999997E-4</v>
      </c>
      <c r="U93" s="617">
        <f>(1.2/100)*P93</f>
        <v>1.2E-2</v>
      </c>
    </row>
    <row r="94" spans="1:21" ht="15.5" x14ac:dyDescent="0.25">
      <c r="A94" s="468"/>
      <c r="B94" s="464"/>
      <c r="C94" s="464"/>
      <c r="D94" s="465"/>
      <c r="E94" s="469"/>
      <c r="F94" s="465"/>
      <c r="H94" s="466"/>
      <c r="I94" s="464"/>
      <c r="J94" s="464"/>
      <c r="K94" s="465"/>
      <c r="L94" s="465"/>
      <c r="M94" s="465"/>
      <c r="O94" s="466"/>
      <c r="P94" s="464"/>
      <c r="Q94" s="464"/>
      <c r="R94" s="465"/>
      <c r="S94" s="465"/>
      <c r="T94" s="465"/>
    </row>
    <row r="95" spans="1:21" ht="14.5" x14ac:dyDescent="0.25">
      <c r="A95" s="1068" t="s">
        <v>249</v>
      </c>
      <c r="B95" s="1070">
        <v>10</v>
      </c>
      <c r="C95" s="1070"/>
      <c r="D95" s="1070"/>
      <c r="E95" s="1070"/>
      <c r="F95" s="1070"/>
      <c r="G95" s="1070"/>
      <c r="H95" s="1071" t="s">
        <v>250</v>
      </c>
      <c r="I95" s="1069">
        <v>11</v>
      </c>
      <c r="J95" s="1069"/>
      <c r="K95" s="1069"/>
      <c r="L95" s="1069"/>
      <c r="M95" s="1069"/>
      <c r="N95" s="1069"/>
      <c r="O95" s="1071" t="s">
        <v>251</v>
      </c>
      <c r="P95" s="1069">
        <v>12</v>
      </c>
      <c r="Q95" s="1069"/>
      <c r="R95" s="1069"/>
      <c r="S95" s="1069"/>
      <c r="T95" s="1069"/>
      <c r="U95" s="1069"/>
    </row>
    <row r="96" spans="1:21" ht="14" x14ac:dyDescent="0.3">
      <c r="A96" s="1068"/>
      <c r="B96" s="1074" t="s">
        <v>231</v>
      </c>
      <c r="C96" s="1074"/>
      <c r="D96" s="1074"/>
      <c r="E96" s="1074"/>
      <c r="F96" s="1074"/>
      <c r="G96" s="1074"/>
      <c r="H96" s="1071"/>
      <c r="I96" s="1078" t="s">
        <v>231</v>
      </c>
      <c r="J96" s="1078"/>
      <c r="K96" s="1078"/>
      <c r="L96" s="1078"/>
      <c r="M96" s="1078"/>
      <c r="N96" s="1078"/>
      <c r="O96" s="1071"/>
      <c r="P96" s="1078" t="s">
        <v>231</v>
      </c>
      <c r="Q96" s="1078"/>
      <c r="R96" s="1078"/>
      <c r="S96" s="1078"/>
      <c r="T96" s="1078"/>
      <c r="U96" s="1078"/>
    </row>
    <row r="97" spans="1:21" ht="13" x14ac:dyDescent="0.25">
      <c r="A97" s="1068"/>
      <c r="B97" s="1041" t="s">
        <v>232</v>
      </c>
      <c r="C97" s="1041"/>
      <c r="D97" s="1041"/>
      <c r="E97" s="1041"/>
      <c r="F97" s="1041" t="s">
        <v>233</v>
      </c>
      <c r="G97" s="1041" t="s">
        <v>173</v>
      </c>
      <c r="H97" s="1071"/>
      <c r="I97" s="1041" t="str">
        <f>B97</f>
        <v>Setting VAC</v>
      </c>
      <c r="J97" s="1041"/>
      <c r="K97" s="1041"/>
      <c r="L97" s="1041"/>
      <c r="M97" s="1041" t="s">
        <v>233</v>
      </c>
      <c r="N97" s="1041" t="s">
        <v>173</v>
      </c>
      <c r="O97" s="1071"/>
      <c r="P97" s="1041" t="str">
        <f>B97</f>
        <v>Setting VAC</v>
      </c>
      <c r="Q97" s="1041"/>
      <c r="R97" s="1041"/>
      <c r="S97" s="1041"/>
      <c r="T97" s="1041" t="s">
        <v>233</v>
      </c>
      <c r="U97" s="1041" t="s">
        <v>173</v>
      </c>
    </row>
    <row r="98" spans="1:21" ht="14" x14ac:dyDescent="0.25">
      <c r="A98" s="1068"/>
      <c r="B98" s="452" t="s">
        <v>234</v>
      </c>
      <c r="C98" s="454">
        <v>2021</v>
      </c>
      <c r="D98" s="454" t="s">
        <v>180</v>
      </c>
      <c r="E98" s="454" t="s">
        <v>180</v>
      </c>
      <c r="F98" s="1041"/>
      <c r="G98" s="1041"/>
      <c r="H98" s="1071"/>
      <c r="I98" s="452" t="s">
        <v>234</v>
      </c>
      <c r="J98" s="454" t="s">
        <v>180</v>
      </c>
      <c r="K98" s="454" t="s">
        <v>180</v>
      </c>
      <c r="L98" s="454" t="s">
        <v>180</v>
      </c>
      <c r="M98" s="1041"/>
      <c r="N98" s="1041"/>
      <c r="O98" s="1071"/>
      <c r="P98" s="452" t="s">
        <v>234</v>
      </c>
      <c r="Q98" s="454" t="s">
        <v>180</v>
      </c>
      <c r="R98" s="454" t="s">
        <v>180</v>
      </c>
      <c r="S98" s="454" t="s">
        <v>180</v>
      </c>
      <c r="T98" s="1041"/>
      <c r="U98" s="1041"/>
    </row>
    <row r="99" spans="1:21" ht="13" x14ac:dyDescent="0.25">
      <c r="A99" s="1068"/>
      <c r="B99" s="456">
        <v>150</v>
      </c>
      <c r="C99" s="457">
        <v>-0.05</v>
      </c>
      <c r="D99" s="454" t="s">
        <v>180</v>
      </c>
      <c r="E99" s="459" t="s">
        <v>180</v>
      </c>
      <c r="F99" s="458">
        <f>0.5*(MAX(C99:E99)-MIN(C99:E99))</f>
        <v>0</v>
      </c>
      <c r="G99" s="454" t="s">
        <v>180</v>
      </c>
      <c r="H99" s="1071"/>
      <c r="I99" s="456">
        <v>150</v>
      </c>
      <c r="J99" s="457">
        <v>9.9999999999999995E-7</v>
      </c>
      <c r="K99" s="454" t="s">
        <v>180</v>
      </c>
      <c r="L99" s="459" t="s">
        <v>180</v>
      </c>
      <c r="M99" s="458">
        <f>0.5*(MAX(J99:L99)-MIN(J99:L99))</f>
        <v>0</v>
      </c>
      <c r="N99" s="454" t="s">
        <v>180</v>
      </c>
      <c r="O99" s="1071"/>
      <c r="P99" s="456">
        <v>150</v>
      </c>
      <c r="Q99" s="457">
        <v>9.9999999999999995E-7</v>
      </c>
      <c r="R99" s="454" t="s">
        <v>180</v>
      </c>
      <c r="S99" s="459" t="s">
        <v>180</v>
      </c>
      <c r="T99" s="458">
        <f>0.5*(MAX(Q99:S99)-MIN(Q99:S99))</f>
        <v>0</v>
      </c>
      <c r="U99" s="458" t="s">
        <v>180</v>
      </c>
    </row>
    <row r="100" spans="1:21" ht="13" x14ac:dyDescent="0.25">
      <c r="A100" s="1068"/>
      <c r="B100" s="456">
        <v>180</v>
      </c>
      <c r="C100" s="457">
        <v>-0.04</v>
      </c>
      <c r="D100" s="459" t="s">
        <v>180</v>
      </c>
      <c r="E100" s="459" t="s">
        <v>180</v>
      </c>
      <c r="F100" s="458">
        <f t="shared" ref="F100:F104" si="59">0.5*(MAX(C100:E100)-MIN(C100:E100))</f>
        <v>0</v>
      </c>
      <c r="G100" s="454" t="s">
        <v>180</v>
      </c>
      <c r="H100" s="1071"/>
      <c r="I100" s="456">
        <v>180</v>
      </c>
      <c r="J100" s="457">
        <v>9.9999999999999995E-7</v>
      </c>
      <c r="K100" s="459" t="s">
        <v>180</v>
      </c>
      <c r="L100" s="459" t="s">
        <v>180</v>
      </c>
      <c r="M100" s="458">
        <f t="shared" ref="M100:M104" si="60">0.5*(MAX(J100:L100)-MIN(J100:L100))</f>
        <v>0</v>
      </c>
      <c r="N100" s="459" t="s">
        <v>180</v>
      </c>
      <c r="O100" s="1071"/>
      <c r="P100" s="456">
        <v>180</v>
      </c>
      <c r="Q100" s="457">
        <v>9.9999999999999995E-7</v>
      </c>
      <c r="R100" s="459" t="s">
        <v>180</v>
      </c>
      <c r="S100" s="459" t="s">
        <v>180</v>
      </c>
      <c r="T100" s="458">
        <f t="shared" ref="T100:T104" si="61">0.5*(MAX(Q100:S100)-MIN(Q100:S100))</f>
        <v>0</v>
      </c>
      <c r="U100" s="458" t="s">
        <v>180</v>
      </c>
    </row>
    <row r="101" spans="1:21" ht="13" x14ac:dyDescent="0.25">
      <c r="A101" s="1068"/>
      <c r="B101" s="457">
        <v>200</v>
      </c>
      <c r="C101" s="457">
        <v>-0.67</v>
      </c>
      <c r="D101" s="459" t="s">
        <v>180</v>
      </c>
      <c r="E101" s="459" t="s">
        <v>180</v>
      </c>
      <c r="F101" s="458">
        <f t="shared" si="59"/>
        <v>0</v>
      </c>
      <c r="G101" s="454" t="s">
        <v>180</v>
      </c>
      <c r="H101" s="1071"/>
      <c r="I101" s="457">
        <v>200</v>
      </c>
      <c r="J101" s="457">
        <v>9.9999999999999995E-7</v>
      </c>
      <c r="K101" s="459" t="s">
        <v>180</v>
      </c>
      <c r="L101" s="459" t="s">
        <v>180</v>
      </c>
      <c r="M101" s="458">
        <f t="shared" si="60"/>
        <v>0</v>
      </c>
      <c r="N101" s="459" t="s">
        <v>180</v>
      </c>
      <c r="O101" s="1071"/>
      <c r="P101" s="457">
        <v>200</v>
      </c>
      <c r="Q101" s="457">
        <v>9.9999999999999995E-7</v>
      </c>
      <c r="R101" s="459" t="s">
        <v>180</v>
      </c>
      <c r="S101" s="459" t="s">
        <v>180</v>
      </c>
      <c r="T101" s="458">
        <f t="shared" si="61"/>
        <v>0</v>
      </c>
      <c r="U101" s="458" t="s">
        <v>180</v>
      </c>
    </row>
    <row r="102" spans="1:21" ht="13" x14ac:dyDescent="0.25">
      <c r="A102" s="1068"/>
      <c r="B102" s="457">
        <v>220</v>
      </c>
      <c r="C102" s="457">
        <v>9.9999999999999995E-7</v>
      </c>
      <c r="D102" s="459" t="s">
        <v>180</v>
      </c>
      <c r="E102" s="459" t="s">
        <v>180</v>
      </c>
      <c r="F102" s="458">
        <f t="shared" si="59"/>
        <v>0</v>
      </c>
      <c r="G102" s="454" t="s">
        <v>180</v>
      </c>
      <c r="H102" s="1071"/>
      <c r="I102" s="457">
        <v>220</v>
      </c>
      <c r="J102" s="457">
        <v>9.9999999999999995E-7</v>
      </c>
      <c r="K102" s="459" t="s">
        <v>180</v>
      </c>
      <c r="L102" s="459" t="s">
        <v>180</v>
      </c>
      <c r="M102" s="458">
        <f t="shared" si="60"/>
        <v>0</v>
      </c>
      <c r="N102" s="459" t="s">
        <v>180</v>
      </c>
      <c r="O102" s="1071"/>
      <c r="P102" s="457">
        <v>220</v>
      </c>
      <c r="Q102" s="457">
        <v>9.9999999999999995E-7</v>
      </c>
      <c r="R102" s="459" t="s">
        <v>180</v>
      </c>
      <c r="S102" s="459" t="s">
        <v>180</v>
      </c>
      <c r="T102" s="458">
        <f t="shared" si="61"/>
        <v>0</v>
      </c>
      <c r="U102" s="458" t="s">
        <v>180</v>
      </c>
    </row>
    <row r="103" spans="1:21" ht="13" x14ac:dyDescent="0.25">
      <c r="A103" s="1068"/>
      <c r="B103" s="457">
        <v>230</v>
      </c>
      <c r="C103" s="457">
        <v>-0.11</v>
      </c>
      <c r="D103" s="459" t="s">
        <v>180</v>
      </c>
      <c r="E103" s="459" t="s">
        <v>180</v>
      </c>
      <c r="F103" s="458">
        <f t="shared" si="59"/>
        <v>0</v>
      </c>
      <c r="G103" s="454" t="s">
        <v>180</v>
      </c>
      <c r="H103" s="1071"/>
      <c r="I103" s="457">
        <v>230</v>
      </c>
      <c r="J103" s="457">
        <v>9.9999999999999995E-7</v>
      </c>
      <c r="K103" s="459" t="s">
        <v>180</v>
      </c>
      <c r="L103" s="459" t="s">
        <v>180</v>
      </c>
      <c r="M103" s="458">
        <f t="shared" si="60"/>
        <v>0</v>
      </c>
      <c r="N103" s="459" t="s">
        <v>180</v>
      </c>
      <c r="O103" s="1071"/>
      <c r="P103" s="457">
        <v>230</v>
      </c>
      <c r="Q103" s="457">
        <v>9.9999999999999995E-7</v>
      </c>
      <c r="R103" s="459" t="s">
        <v>180</v>
      </c>
      <c r="S103" s="459" t="s">
        <v>180</v>
      </c>
      <c r="T103" s="458">
        <f t="shared" si="61"/>
        <v>0</v>
      </c>
      <c r="U103" s="458" t="s">
        <v>180</v>
      </c>
    </row>
    <row r="104" spans="1:21" ht="13" x14ac:dyDescent="0.25">
      <c r="A104" s="1068"/>
      <c r="B104" s="457">
        <v>250</v>
      </c>
      <c r="C104" s="457">
        <v>-0.11</v>
      </c>
      <c r="D104" s="459" t="s">
        <v>180</v>
      </c>
      <c r="E104" s="459" t="s">
        <v>180</v>
      </c>
      <c r="F104" s="458">
        <f t="shared" si="59"/>
        <v>0</v>
      </c>
      <c r="G104" s="454" t="s">
        <v>180</v>
      </c>
      <c r="H104" s="1071"/>
      <c r="I104" s="457">
        <v>250</v>
      </c>
      <c r="J104" s="457">
        <v>9.9999999999999995E-7</v>
      </c>
      <c r="K104" s="459" t="s">
        <v>180</v>
      </c>
      <c r="L104" s="459" t="s">
        <v>180</v>
      </c>
      <c r="M104" s="458">
        <f t="shared" si="60"/>
        <v>0</v>
      </c>
      <c r="N104" s="459" t="s">
        <v>180</v>
      </c>
      <c r="O104" s="1071"/>
      <c r="P104" s="457">
        <v>250</v>
      </c>
      <c r="Q104" s="457">
        <v>9.9999999999999995E-7</v>
      </c>
      <c r="R104" s="459" t="s">
        <v>180</v>
      </c>
      <c r="S104" s="459" t="s">
        <v>180</v>
      </c>
      <c r="T104" s="458">
        <f t="shared" si="61"/>
        <v>0</v>
      </c>
      <c r="U104" s="458" t="s">
        <v>180</v>
      </c>
    </row>
    <row r="105" spans="1:21" ht="13" customHeight="1" x14ac:dyDescent="0.25">
      <c r="A105" s="1068"/>
      <c r="B105" s="1047" t="s">
        <v>235</v>
      </c>
      <c r="C105" s="1047"/>
      <c r="D105" s="1047"/>
      <c r="E105" s="1047"/>
      <c r="F105" s="1041" t="s">
        <v>233</v>
      </c>
      <c r="G105" s="1041" t="s">
        <v>173</v>
      </c>
      <c r="H105" s="1071"/>
      <c r="I105" s="1047" t="str">
        <f>B105</f>
        <v>Current Leakage</v>
      </c>
      <c r="J105" s="1047"/>
      <c r="K105" s="1047"/>
      <c r="L105" s="1047"/>
      <c r="M105" s="1041" t="s">
        <v>233</v>
      </c>
      <c r="N105" s="1041" t="s">
        <v>173</v>
      </c>
      <c r="O105" s="1071"/>
      <c r="P105" s="1047" t="str">
        <f>B105</f>
        <v>Current Leakage</v>
      </c>
      <c r="Q105" s="1047"/>
      <c r="R105" s="1047"/>
      <c r="S105" s="1047"/>
      <c r="T105" s="1041" t="s">
        <v>233</v>
      </c>
      <c r="U105" s="1041" t="s">
        <v>173</v>
      </c>
    </row>
    <row r="106" spans="1:21" ht="14" x14ac:dyDescent="0.25">
      <c r="A106" s="1068"/>
      <c r="B106" s="452" t="s">
        <v>236</v>
      </c>
      <c r="C106" s="453">
        <f>C98</f>
        <v>2021</v>
      </c>
      <c r="D106" s="453" t="str">
        <f>D98</f>
        <v>-</v>
      </c>
      <c r="E106" s="453" t="str">
        <f>E98</f>
        <v>-</v>
      </c>
      <c r="F106" s="1041"/>
      <c r="G106" s="1041"/>
      <c r="H106" s="1071"/>
      <c r="I106" s="452" t="s">
        <v>236</v>
      </c>
      <c r="J106" s="453" t="str">
        <f>J98</f>
        <v>-</v>
      </c>
      <c r="K106" s="453" t="str">
        <f>K98</f>
        <v>-</v>
      </c>
      <c r="L106" s="453" t="str">
        <f>L98</f>
        <v>-</v>
      </c>
      <c r="M106" s="1041"/>
      <c r="N106" s="1041"/>
      <c r="O106" s="1071"/>
      <c r="P106" s="452" t="s">
        <v>236</v>
      </c>
      <c r="Q106" s="453" t="str">
        <f>Q98</f>
        <v>-</v>
      </c>
      <c r="R106" s="453" t="str">
        <f>R98</f>
        <v>-</v>
      </c>
      <c r="S106" s="453" t="str">
        <f>S98</f>
        <v>-</v>
      </c>
      <c r="T106" s="1041"/>
      <c r="U106" s="1041"/>
    </row>
    <row r="107" spans="1:21" ht="13" x14ac:dyDescent="0.25">
      <c r="A107" s="1068"/>
      <c r="B107" s="457">
        <v>0</v>
      </c>
      <c r="C107" s="457">
        <v>9.9999999999999995E-7</v>
      </c>
      <c r="D107" s="454" t="s">
        <v>180</v>
      </c>
      <c r="E107" s="459" t="s">
        <v>180</v>
      </c>
      <c r="F107" s="458">
        <f>0.5*(MAX(C107:E107)-MIN(C107:E107))</f>
        <v>0</v>
      </c>
      <c r="G107" s="454" t="s">
        <v>180</v>
      </c>
      <c r="H107" s="1071"/>
      <c r="I107" s="457">
        <v>0</v>
      </c>
      <c r="J107" s="457">
        <v>9.9999999999999995E-7</v>
      </c>
      <c r="K107" s="454" t="s">
        <v>180</v>
      </c>
      <c r="L107" s="459" t="s">
        <v>180</v>
      </c>
      <c r="M107" s="458">
        <f>0.5*(MAX(J107:L107)-MIN(J107:L107))</f>
        <v>0</v>
      </c>
      <c r="N107" s="454" t="s">
        <v>180</v>
      </c>
      <c r="O107" s="1071"/>
      <c r="P107" s="457">
        <v>0</v>
      </c>
      <c r="Q107" s="457">
        <v>9.9999999999999995E-7</v>
      </c>
      <c r="R107" s="454" t="s">
        <v>180</v>
      </c>
      <c r="S107" s="459" t="s">
        <v>180</v>
      </c>
      <c r="T107" s="458">
        <f>0.5*(MAX(Q107:S107)-MIN(Q107:S107))</f>
        <v>0</v>
      </c>
      <c r="U107" s="454" t="s">
        <v>180</v>
      </c>
    </row>
    <row r="108" spans="1:21" ht="13" x14ac:dyDescent="0.25">
      <c r="A108" s="1068"/>
      <c r="B108" s="457">
        <v>50</v>
      </c>
      <c r="C108" s="457">
        <v>0.4</v>
      </c>
      <c r="D108" s="459" t="s">
        <v>180</v>
      </c>
      <c r="E108" s="459" t="s">
        <v>180</v>
      </c>
      <c r="F108" s="458">
        <f t="shared" ref="F108:F112" si="62">0.5*(MAX(C108:E108)-MIN(C108:E108))</f>
        <v>0</v>
      </c>
      <c r="G108" s="454" t="s">
        <v>180</v>
      </c>
      <c r="H108" s="1071"/>
      <c r="I108" s="457">
        <v>50</v>
      </c>
      <c r="J108" s="457">
        <v>9.9999999999999995E-7</v>
      </c>
      <c r="K108" s="459" t="s">
        <v>180</v>
      </c>
      <c r="L108" s="459" t="s">
        <v>180</v>
      </c>
      <c r="M108" s="458">
        <f t="shared" ref="M108:M112" si="63">0.5*(MAX(J108:L108)-MIN(J108:L108))</f>
        <v>0</v>
      </c>
      <c r="N108" s="459" t="s">
        <v>180</v>
      </c>
      <c r="O108" s="1071"/>
      <c r="P108" s="457">
        <v>50</v>
      </c>
      <c r="Q108" s="457">
        <v>9.9999999999999995E-7</v>
      </c>
      <c r="R108" s="459" t="s">
        <v>180</v>
      </c>
      <c r="S108" s="459" t="s">
        <v>180</v>
      </c>
      <c r="T108" s="458">
        <f t="shared" ref="T108:T112" si="64">0.5*(MAX(Q108:S108)-MIN(Q108:S108))</f>
        <v>0</v>
      </c>
      <c r="U108" s="459" t="s">
        <v>180</v>
      </c>
    </row>
    <row r="109" spans="1:21" ht="13" x14ac:dyDescent="0.25">
      <c r="A109" s="1068"/>
      <c r="B109" s="457">
        <v>100</v>
      </c>
      <c r="C109" s="457">
        <v>0.4</v>
      </c>
      <c r="D109" s="459" t="s">
        <v>180</v>
      </c>
      <c r="E109" s="459" t="s">
        <v>180</v>
      </c>
      <c r="F109" s="458">
        <f t="shared" si="62"/>
        <v>0</v>
      </c>
      <c r="G109" s="454" t="s">
        <v>180</v>
      </c>
      <c r="H109" s="1071"/>
      <c r="I109" s="457">
        <v>100</v>
      </c>
      <c r="J109" s="457">
        <v>9.9999999999999995E-7</v>
      </c>
      <c r="K109" s="459" t="s">
        <v>180</v>
      </c>
      <c r="L109" s="459" t="s">
        <v>180</v>
      </c>
      <c r="M109" s="458">
        <f t="shared" si="63"/>
        <v>0</v>
      </c>
      <c r="N109" s="459" t="s">
        <v>180</v>
      </c>
      <c r="O109" s="1071"/>
      <c r="P109" s="457">
        <v>100</v>
      </c>
      <c r="Q109" s="457">
        <v>9.9999999999999995E-7</v>
      </c>
      <c r="R109" s="459" t="s">
        <v>180</v>
      </c>
      <c r="S109" s="459" t="s">
        <v>180</v>
      </c>
      <c r="T109" s="458">
        <f t="shared" si="64"/>
        <v>0</v>
      </c>
      <c r="U109" s="459" t="s">
        <v>180</v>
      </c>
    </row>
    <row r="110" spans="1:21" ht="13" x14ac:dyDescent="0.25">
      <c r="A110" s="1068"/>
      <c r="B110" s="457">
        <v>200</v>
      </c>
      <c r="C110" s="457">
        <v>0.4</v>
      </c>
      <c r="D110" s="459" t="s">
        <v>180</v>
      </c>
      <c r="E110" s="459" t="s">
        <v>180</v>
      </c>
      <c r="F110" s="458">
        <f t="shared" si="62"/>
        <v>0</v>
      </c>
      <c r="G110" s="454" t="s">
        <v>180</v>
      </c>
      <c r="H110" s="1071"/>
      <c r="I110" s="457">
        <v>200</v>
      </c>
      <c r="J110" s="457">
        <v>9.9999999999999995E-7</v>
      </c>
      <c r="K110" s="459" t="s">
        <v>180</v>
      </c>
      <c r="L110" s="459" t="s">
        <v>180</v>
      </c>
      <c r="M110" s="458">
        <f t="shared" si="63"/>
        <v>0</v>
      </c>
      <c r="N110" s="459" t="s">
        <v>180</v>
      </c>
      <c r="O110" s="1071"/>
      <c r="P110" s="457">
        <v>200</v>
      </c>
      <c r="Q110" s="457">
        <v>9.9999999999999995E-7</v>
      </c>
      <c r="R110" s="459" t="s">
        <v>180</v>
      </c>
      <c r="S110" s="459" t="s">
        <v>180</v>
      </c>
      <c r="T110" s="458">
        <f t="shared" si="64"/>
        <v>0</v>
      </c>
      <c r="U110" s="459" t="s">
        <v>180</v>
      </c>
    </row>
    <row r="111" spans="1:21" ht="13" x14ac:dyDescent="0.25">
      <c r="A111" s="1068"/>
      <c r="B111" s="457">
        <v>500</v>
      </c>
      <c r="C111" s="457">
        <v>1.5</v>
      </c>
      <c r="D111" s="459" t="s">
        <v>180</v>
      </c>
      <c r="E111" s="459" t="s">
        <v>180</v>
      </c>
      <c r="F111" s="458">
        <f t="shared" si="62"/>
        <v>0</v>
      </c>
      <c r="G111" s="454" t="s">
        <v>180</v>
      </c>
      <c r="H111" s="1071"/>
      <c r="I111" s="457">
        <v>500</v>
      </c>
      <c r="J111" s="457">
        <v>9.9999999999999995E-7</v>
      </c>
      <c r="K111" s="459" t="s">
        <v>180</v>
      </c>
      <c r="L111" s="459" t="s">
        <v>180</v>
      </c>
      <c r="M111" s="458">
        <f t="shared" si="63"/>
        <v>0</v>
      </c>
      <c r="N111" s="459" t="s">
        <v>180</v>
      </c>
      <c r="O111" s="1071"/>
      <c r="P111" s="457">
        <v>500</v>
      </c>
      <c r="Q111" s="457">
        <v>9.9999999999999995E-7</v>
      </c>
      <c r="R111" s="459" t="s">
        <v>180</v>
      </c>
      <c r="S111" s="459" t="s">
        <v>180</v>
      </c>
      <c r="T111" s="458">
        <f t="shared" si="64"/>
        <v>0</v>
      </c>
      <c r="U111" s="459" t="s">
        <v>180</v>
      </c>
    </row>
    <row r="112" spans="1:21" ht="13" x14ac:dyDescent="0.25">
      <c r="A112" s="1068"/>
      <c r="B112" s="457">
        <v>1000</v>
      </c>
      <c r="C112" s="457">
        <v>2</v>
      </c>
      <c r="D112" s="459" t="s">
        <v>180</v>
      </c>
      <c r="E112" s="459" t="s">
        <v>180</v>
      </c>
      <c r="F112" s="458">
        <f t="shared" si="62"/>
        <v>0</v>
      </c>
      <c r="G112" s="454" t="s">
        <v>180</v>
      </c>
      <c r="H112" s="1071"/>
      <c r="I112" s="457">
        <v>1000</v>
      </c>
      <c r="J112" s="457">
        <v>9.9999999999999995E-7</v>
      </c>
      <c r="K112" s="459" t="s">
        <v>180</v>
      </c>
      <c r="L112" s="459" t="s">
        <v>180</v>
      </c>
      <c r="M112" s="458">
        <f t="shared" si="63"/>
        <v>0</v>
      </c>
      <c r="N112" s="459" t="s">
        <v>180</v>
      </c>
      <c r="O112" s="1071"/>
      <c r="P112" s="457">
        <v>1000</v>
      </c>
      <c r="Q112" s="457">
        <v>9.9999999999999995E-7</v>
      </c>
      <c r="R112" s="459" t="s">
        <v>180</v>
      </c>
      <c r="S112" s="459" t="s">
        <v>180</v>
      </c>
      <c r="T112" s="458">
        <f t="shared" si="64"/>
        <v>0</v>
      </c>
      <c r="U112" s="459" t="s">
        <v>180</v>
      </c>
    </row>
    <row r="113" spans="1:21" ht="13" x14ac:dyDescent="0.25">
      <c r="A113" s="1068"/>
      <c r="B113" s="1047" t="s">
        <v>237</v>
      </c>
      <c r="C113" s="1047"/>
      <c r="D113" s="1047"/>
      <c r="E113" s="1047"/>
      <c r="F113" s="1041" t="s">
        <v>233</v>
      </c>
      <c r="G113" s="1041" t="s">
        <v>173</v>
      </c>
      <c r="H113" s="1071"/>
      <c r="I113" s="1047" t="s">
        <v>237</v>
      </c>
      <c r="J113" s="1047"/>
      <c r="K113" s="1047"/>
      <c r="L113" s="1047"/>
      <c r="M113" s="1041" t="s">
        <v>233</v>
      </c>
      <c r="N113" s="1041" t="s">
        <v>173</v>
      </c>
      <c r="O113" s="1071"/>
      <c r="P113" s="1047" t="str">
        <f>B113</f>
        <v>Main-PE</v>
      </c>
      <c r="Q113" s="1047"/>
      <c r="R113" s="1047"/>
      <c r="S113" s="1047"/>
      <c r="T113" s="1041" t="s">
        <v>233</v>
      </c>
      <c r="U113" s="1041" t="s">
        <v>173</v>
      </c>
    </row>
    <row r="114" spans="1:21" ht="14.5" x14ac:dyDescent="0.25">
      <c r="A114" s="1068"/>
      <c r="B114" s="452" t="s">
        <v>335</v>
      </c>
      <c r="C114" s="453">
        <f>C98</f>
        <v>2021</v>
      </c>
      <c r="D114" s="453" t="str">
        <f>D98</f>
        <v>-</v>
      </c>
      <c r="E114" s="453" t="str">
        <f>E98</f>
        <v>-</v>
      </c>
      <c r="F114" s="1041"/>
      <c r="G114" s="1041"/>
      <c r="H114" s="1071"/>
      <c r="I114" s="452" t="s">
        <v>335</v>
      </c>
      <c r="J114" s="453" t="str">
        <f>J98</f>
        <v>-</v>
      </c>
      <c r="K114" s="453" t="str">
        <f>K98</f>
        <v>-</v>
      </c>
      <c r="L114" s="453" t="str">
        <f>L98</f>
        <v>-</v>
      </c>
      <c r="M114" s="1041"/>
      <c r="N114" s="1041"/>
      <c r="O114" s="1071"/>
      <c r="P114" s="452" t="s">
        <v>335</v>
      </c>
      <c r="Q114" s="453" t="str">
        <f>Q98</f>
        <v>-</v>
      </c>
      <c r="R114" s="453" t="str">
        <f>R98</f>
        <v>-</v>
      </c>
      <c r="S114" s="453" t="str">
        <f>S98</f>
        <v>-</v>
      </c>
      <c r="T114" s="1041"/>
      <c r="U114" s="1041"/>
    </row>
    <row r="115" spans="1:21" x14ac:dyDescent="0.25">
      <c r="A115" s="1068"/>
      <c r="B115" s="457">
        <v>10</v>
      </c>
      <c r="C115" s="457">
        <v>9.9999999999999995E-7</v>
      </c>
      <c r="D115" s="459" t="s">
        <v>180</v>
      </c>
      <c r="E115" s="459" t="s">
        <v>180</v>
      </c>
      <c r="F115" s="458">
        <f>0.5*(MAX(C115:E115)-MIN(C115:E115))</f>
        <v>0</v>
      </c>
      <c r="G115" s="459" t="s">
        <v>180</v>
      </c>
      <c r="H115" s="1071"/>
      <c r="I115" s="457">
        <v>10</v>
      </c>
      <c r="J115" s="457">
        <v>9.9999999999999995E-7</v>
      </c>
      <c r="K115" s="459" t="s">
        <v>180</v>
      </c>
      <c r="L115" s="459" t="s">
        <v>180</v>
      </c>
      <c r="M115" s="458">
        <f>0.5*(MAX(J115:L115)-MIN(J115:L115))</f>
        <v>0</v>
      </c>
      <c r="N115" s="459" t="s">
        <v>180</v>
      </c>
      <c r="O115" s="1071"/>
      <c r="P115" s="457">
        <v>10</v>
      </c>
      <c r="Q115" s="457">
        <v>9.9999999999999995E-7</v>
      </c>
      <c r="R115" s="459" t="s">
        <v>180</v>
      </c>
      <c r="S115" s="459" t="s">
        <v>180</v>
      </c>
      <c r="T115" s="458">
        <f>0.5*(MAX(Q115:S115)-MIN(Q115:S115))</f>
        <v>0</v>
      </c>
      <c r="U115" s="459" t="s">
        <v>180</v>
      </c>
    </row>
    <row r="116" spans="1:21" x14ac:dyDescent="0.25">
      <c r="A116" s="1068"/>
      <c r="B116" s="457">
        <v>20</v>
      </c>
      <c r="C116" s="457">
        <v>0.1</v>
      </c>
      <c r="D116" s="459" t="s">
        <v>180</v>
      </c>
      <c r="E116" s="459" t="s">
        <v>180</v>
      </c>
      <c r="F116" s="458">
        <f t="shared" ref="F116:F118" si="65">0.5*(MAX(C116:E116)-MIN(C116:E116))</f>
        <v>0</v>
      </c>
      <c r="G116" s="459" t="s">
        <v>180</v>
      </c>
      <c r="H116" s="1071"/>
      <c r="I116" s="457">
        <v>20</v>
      </c>
      <c r="J116" s="457">
        <v>9.9999999999999995E-7</v>
      </c>
      <c r="K116" s="459" t="s">
        <v>180</v>
      </c>
      <c r="L116" s="459" t="s">
        <v>180</v>
      </c>
      <c r="M116" s="458">
        <f t="shared" ref="M116:M118" si="66">0.5*(MAX(J116:L116)-MIN(J116:L116))</f>
        <v>0</v>
      </c>
      <c r="N116" s="459" t="s">
        <v>180</v>
      </c>
      <c r="O116" s="1071"/>
      <c r="P116" s="457">
        <v>20</v>
      </c>
      <c r="Q116" s="457">
        <v>9.9999999999999995E-7</v>
      </c>
      <c r="R116" s="459" t="s">
        <v>180</v>
      </c>
      <c r="S116" s="459" t="s">
        <v>180</v>
      </c>
      <c r="T116" s="458">
        <f t="shared" ref="T116:T118" si="67">0.5*(MAX(Q116:S116)-MIN(Q116:S116))</f>
        <v>0</v>
      </c>
      <c r="U116" s="459" t="s">
        <v>180</v>
      </c>
    </row>
    <row r="117" spans="1:21" x14ac:dyDescent="0.25">
      <c r="A117" s="1068"/>
      <c r="B117" s="457">
        <v>50</v>
      </c>
      <c r="C117" s="457">
        <v>0.4</v>
      </c>
      <c r="D117" s="459" t="s">
        <v>180</v>
      </c>
      <c r="E117" s="459" t="s">
        <v>180</v>
      </c>
      <c r="F117" s="458">
        <f t="shared" si="65"/>
        <v>0</v>
      </c>
      <c r="G117" s="459" t="s">
        <v>180</v>
      </c>
      <c r="H117" s="1071"/>
      <c r="I117" s="457">
        <v>50</v>
      </c>
      <c r="J117" s="457">
        <v>9.9999999999999995E-7</v>
      </c>
      <c r="K117" s="459" t="s">
        <v>180</v>
      </c>
      <c r="L117" s="459" t="s">
        <v>180</v>
      </c>
      <c r="M117" s="458">
        <f t="shared" si="66"/>
        <v>0</v>
      </c>
      <c r="N117" s="459" t="s">
        <v>180</v>
      </c>
      <c r="O117" s="1071"/>
      <c r="P117" s="457">
        <v>50</v>
      </c>
      <c r="Q117" s="457">
        <v>9.9999999999999995E-7</v>
      </c>
      <c r="R117" s="459" t="s">
        <v>180</v>
      </c>
      <c r="S117" s="459" t="s">
        <v>180</v>
      </c>
      <c r="T117" s="458">
        <f t="shared" si="67"/>
        <v>0</v>
      </c>
      <c r="U117" s="459" t="s">
        <v>180</v>
      </c>
    </row>
    <row r="118" spans="1:21" x14ac:dyDescent="0.25">
      <c r="A118" s="1068"/>
      <c r="B118" s="457">
        <v>100</v>
      </c>
      <c r="C118" s="457">
        <v>1.4</v>
      </c>
      <c r="D118" s="459" t="s">
        <v>180</v>
      </c>
      <c r="E118" s="459" t="s">
        <v>180</v>
      </c>
      <c r="F118" s="458">
        <f t="shared" si="65"/>
        <v>0</v>
      </c>
      <c r="G118" s="459" t="s">
        <v>180</v>
      </c>
      <c r="H118" s="1071"/>
      <c r="I118" s="457">
        <v>100</v>
      </c>
      <c r="J118" s="457">
        <v>9.9999999999999995E-7</v>
      </c>
      <c r="K118" s="459" t="s">
        <v>180</v>
      </c>
      <c r="L118" s="459" t="s">
        <v>180</v>
      </c>
      <c r="M118" s="458">
        <f t="shared" si="66"/>
        <v>0</v>
      </c>
      <c r="N118" s="459" t="s">
        <v>180</v>
      </c>
      <c r="O118" s="1071"/>
      <c r="P118" s="457">
        <v>100</v>
      </c>
      <c r="Q118" s="457">
        <v>9.9999999999999995E-7</v>
      </c>
      <c r="R118" s="459" t="s">
        <v>180</v>
      </c>
      <c r="S118" s="459" t="s">
        <v>180</v>
      </c>
      <c r="T118" s="458">
        <f t="shared" si="67"/>
        <v>0</v>
      </c>
      <c r="U118" s="459" t="s">
        <v>180</v>
      </c>
    </row>
    <row r="119" spans="1:21" ht="13" customHeight="1" x14ac:dyDescent="0.25">
      <c r="A119" s="1068"/>
      <c r="B119" s="1047" t="s">
        <v>238</v>
      </c>
      <c r="C119" s="1047"/>
      <c r="D119" s="1047"/>
      <c r="E119" s="1047"/>
      <c r="F119" s="1041" t="s">
        <v>233</v>
      </c>
      <c r="G119" s="1041" t="s">
        <v>173</v>
      </c>
      <c r="H119" s="1071"/>
      <c r="I119" s="1047" t="s">
        <v>238</v>
      </c>
      <c r="J119" s="1047"/>
      <c r="K119" s="1047"/>
      <c r="L119" s="1047"/>
      <c r="M119" s="1041" t="s">
        <v>233</v>
      </c>
      <c r="N119" s="1041" t="s">
        <v>173</v>
      </c>
      <c r="O119" s="1071"/>
      <c r="P119" s="1047" t="str">
        <f>B119</f>
        <v>Resistance</v>
      </c>
      <c r="Q119" s="1047"/>
      <c r="R119" s="1047"/>
      <c r="S119" s="1047"/>
      <c r="T119" s="1041" t="s">
        <v>233</v>
      </c>
      <c r="U119" s="1041" t="s">
        <v>173</v>
      </c>
    </row>
    <row r="120" spans="1:21" ht="14.5" x14ac:dyDescent="0.25">
      <c r="A120" s="1068"/>
      <c r="B120" s="452" t="s">
        <v>336</v>
      </c>
      <c r="C120" s="453">
        <f>C98</f>
        <v>2021</v>
      </c>
      <c r="D120" s="453" t="str">
        <f>D98</f>
        <v>-</v>
      </c>
      <c r="E120" s="453" t="str">
        <f>E98</f>
        <v>-</v>
      </c>
      <c r="F120" s="1041"/>
      <c r="G120" s="1041"/>
      <c r="H120" s="1071"/>
      <c r="I120" s="452" t="s">
        <v>336</v>
      </c>
      <c r="J120" s="453" t="str">
        <f>J98</f>
        <v>-</v>
      </c>
      <c r="K120" s="453" t="str">
        <f>K98</f>
        <v>-</v>
      </c>
      <c r="L120" s="453" t="str">
        <f>L98</f>
        <v>-</v>
      </c>
      <c r="M120" s="1041"/>
      <c r="N120" s="1041"/>
      <c r="O120" s="1071"/>
      <c r="P120" s="452" t="s">
        <v>336</v>
      </c>
      <c r="Q120" s="453" t="str">
        <f>Q98</f>
        <v>-</v>
      </c>
      <c r="R120" s="453" t="str">
        <f>R98</f>
        <v>-</v>
      </c>
      <c r="S120" s="453" t="str">
        <f>S98</f>
        <v>-</v>
      </c>
      <c r="T120" s="1041"/>
      <c r="U120" s="1041"/>
    </row>
    <row r="121" spans="1:21" x14ac:dyDescent="0.25">
      <c r="A121" s="1068"/>
      <c r="B121" s="457">
        <v>0</v>
      </c>
      <c r="C121" s="457">
        <v>9.9999999999999995E-7</v>
      </c>
      <c r="D121" s="459" t="s">
        <v>180</v>
      </c>
      <c r="E121" s="459" t="s">
        <v>180</v>
      </c>
      <c r="F121" s="458">
        <f>0.5*(MAX(C121:E121)-MIN(C121:E121))</f>
        <v>0</v>
      </c>
      <c r="G121" s="459" t="s">
        <v>180</v>
      </c>
      <c r="H121" s="1071"/>
      <c r="I121" s="457">
        <v>0.01</v>
      </c>
      <c r="J121" s="457">
        <v>9.9999999999999995E-7</v>
      </c>
      <c r="K121" s="459" t="s">
        <v>180</v>
      </c>
      <c r="L121" s="459" t="s">
        <v>180</v>
      </c>
      <c r="M121" s="458">
        <f>0.5*(MAX(J121:L121)-MIN(J121:L121))</f>
        <v>0</v>
      </c>
      <c r="N121" s="459" t="s">
        <v>180</v>
      </c>
      <c r="O121" s="1071"/>
      <c r="P121" s="457">
        <v>0.01</v>
      </c>
      <c r="Q121" s="457">
        <v>9.9999999999999995E-7</v>
      </c>
      <c r="R121" s="459" t="s">
        <v>180</v>
      </c>
      <c r="S121" s="459" t="s">
        <v>180</v>
      </c>
      <c r="T121" s="458">
        <f>0.5*(MAX(Q121:S121)-MIN(Q121:S121))</f>
        <v>0</v>
      </c>
      <c r="U121" s="459" t="s">
        <v>180</v>
      </c>
    </row>
    <row r="122" spans="1:21" x14ac:dyDescent="0.25">
      <c r="A122" s="1068"/>
      <c r="B122" s="457">
        <v>0.1</v>
      </c>
      <c r="C122" s="457">
        <v>-2E-3</v>
      </c>
      <c r="D122" s="459" t="s">
        <v>180</v>
      </c>
      <c r="E122" s="459" t="s">
        <v>180</v>
      </c>
      <c r="F122" s="458">
        <f t="shared" ref="F122:F124" si="68">0.5*(MAX(C122:E122)-MIN(C122:E122))</f>
        <v>0</v>
      </c>
      <c r="G122" s="459" t="s">
        <v>180</v>
      </c>
      <c r="H122" s="1071"/>
      <c r="I122" s="457">
        <v>0.1</v>
      </c>
      <c r="J122" s="457">
        <v>9.9999999999999995E-7</v>
      </c>
      <c r="K122" s="459" t="s">
        <v>180</v>
      </c>
      <c r="L122" s="459" t="s">
        <v>180</v>
      </c>
      <c r="M122" s="458">
        <f t="shared" ref="M122:M124" si="69">0.5*(MAX(J122:L122)-MIN(J122:L122))</f>
        <v>0</v>
      </c>
      <c r="N122" s="459" t="s">
        <v>180</v>
      </c>
      <c r="O122" s="1071"/>
      <c r="P122" s="457">
        <v>0.1</v>
      </c>
      <c r="Q122" s="457">
        <v>9.9999999999999995E-7</v>
      </c>
      <c r="R122" s="459" t="s">
        <v>180</v>
      </c>
      <c r="S122" s="459" t="s">
        <v>180</v>
      </c>
      <c r="T122" s="458">
        <f t="shared" ref="T122:T124" si="70">0.5*(MAX(Q122:S122)-MIN(Q122:S122))</f>
        <v>0</v>
      </c>
      <c r="U122" s="459" t="s">
        <v>180</v>
      </c>
    </row>
    <row r="123" spans="1:21" x14ac:dyDescent="0.25">
      <c r="A123" s="1068"/>
      <c r="B123" s="457">
        <v>1</v>
      </c>
      <c r="C123" s="457">
        <v>-8.0000000000000002E-3</v>
      </c>
      <c r="D123" s="459" t="s">
        <v>180</v>
      </c>
      <c r="E123" s="459" t="s">
        <v>180</v>
      </c>
      <c r="F123" s="458">
        <f t="shared" si="68"/>
        <v>0</v>
      </c>
      <c r="G123" s="459" t="s">
        <v>180</v>
      </c>
      <c r="H123" s="1071"/>
      <c r="I123" s="457">
        <v>1</v>
      </c>
      <c r="J123" s="457">
        <v>9.9999999999999995E-7</v>
      </c>
      <c r="K123" s="459" t="s">
        <v>180</v>
      </c>
      <c r="L123" s="459" t="s">
        <v>180</v>
      </c>
      <c r="M123" s="458">
        <f t="shared" si="69"/>
        <v>0</v>
      </c>
      <c r="N123" s="459" t="s">
        <v>180</v>
      </c>
      <c r="O123" s="1071"/>
      <c r="P123" s="457">
        <v>1</v>
      </c>
      <c r="Q123" s="457">
        <v>9.9999999999999995E-7</v>
      </c>
      <c r="R123" s="459" t="s">
        <v>180</v>
      </c>
      <c r="S123" s="459" t="s">
        <v>180</v>
      </c>
      <c r="T123" s="458">
        <f t="shared" si="70"/>
        <v>0</v>
      </c>
      <c r="U123" s="459" t="s">
        <v>180</v>
      </c>
    </row>
    <row r="124" spans="1:21" x14ac:dyDescent="0.25">
      <c r="A124" s="1068"/>
      <c r="B124" s="457">
        <v>2</v>
      </c>
      <c r="C124" s="457">
        <v>-7.0000000000000001E-3</v>
      </c>
      <c r="D124" s="459" t="s">
        <v>180</v>
      </c>
      <c r="E124" s="459" t="s">
        <v>180</v>
      </c>
      <c r="F124" s="458">
        <f t="shared" si="68"/>
        <v>0</v>
      </c>
      <c r="G124" s="459" t="s">
        <v>180</v>
      </c>
      <c r="H124" s="1071"/>
      <c r="I124" s="457">
        <v>2</v>
      </c>
      <c r="J124" s="457">
        <v>9.9999999999999995E-7</v>
      </c>
      <c r="K124" s="459" t="s">
        <v>180</v>
      </c>
      <c r="L124" s="459" t="s">
        <v>180</v>
      </c>
      <c r="M124" s="458">
        <f t="shared" si="69"/>
        <v>0</v>
      </c>
      <c r="N124" s="459" t="s">
        <v>180</v>
      </c>
      <c r="O124" s="1071"/>
      <c r="P124" s="457">
        <v>2</v>
      </c>
      <c r="Q124" s="457">
        <v>9.9999999999999995E-7</v>
      </c>
      <c r="R124" s="459" t="s">
        <v>180</v>
      </c>
      <c r="S124" s="459" t="s">
        <v>180</v>
      </c>
      <c r="T124" s="458">
        <f t="shared" si="70"/>
        <v>0</v>
      </c>
      <c r="U124" s="459" t="s">
        <v>180</v>
      </c>
    </row>
    <row r="125" spans="1:21" ht="15.5" x14ac:dyDescent="0.25">
      <c r="A125" s="1061"/>
      <c r="B125" s="1062"/>
      <c r="C125" s="1062"/>
      <c r="D125" s="1062"/>
      <c r="E125" s="1062"/>
      <c r="F125" s="1062"/>
      <c r="G125" s="1062"/>
      <c r="H125" s="1062"/>
      <c r="I125" s="1062"/>
      <c r="J125" s="1062"/>
      <c r="K125" s="1062"/>
      <c r="L125" s="1062"/>
      <c r="M125" s="1062"/>
      <c r="N125" s="1062"/>
      <c r="O125" s="1062"/>
      <c r="P125" s="1062"/>
      <c r="Q125" s="1062"/>
      <c r="R125" s="1062"/>
      <c r="S125" s="1062"/>
      <c r="T125" s="1062"/>
      <c r="U125" s="1062"/>
    </row>
    <row r="126" spans="1:21" ht="15.5" x14ac:dyDescent="0.25">
      <c r="A126" s="1061"/>
      <c r="B126" s="1062"/>
      <c r="C126" s="1062"/>
      <c r="D126" s="1062"/>
      <c r="E126" s="1062"/>
      <c r="F126" s="1062"/>
      <c r="G126" s="1062"/>
      <c r="H126" s="1062"/>
      <c r="I126" s="1062"/>
      <c r="J126" s="1062"/>
      <c r="K126" s="1062"/>
      <c r="L126" s="1062"/>
      <c r="M126" s="1062"/>
      <c r="N126" s="1062"/>
      <c r="O126" s="1062"/>
      <c r="P126" s="1062"/>
      <c r="Q126" s="1062"/>
      <c r="R126" s="1062"/>
      <c r="S126" s="1062"/>
      <c r="T126" s="1062"/>
      <c r="U126" s="1062"/>
    </row>
    <row r="127" spans="1:21" x14ac:dyDescent="0.25">
      <c r="A127" s="470"/>
      <c r="B127" s="464"/>
      <c r="C127" s="464"/>
    </row>
    <row r="128" spans="1:21" ht="14" x14ac:dyDescent="0.3">
      <c r="A128" s="1056" t="s">
        <v>252</v>
      </c>
      <c r="B128" s="1058"/>
      <c r="C128" s="1057" t="s">
        <v>231</v>
      </c>
      <c r="D128" s="1057"/>
      <c r="E128" s="1057"/>
      <c r="F128" s="1057"/>
      <c r="G128" s="1057"/>
      <c r="H128" s="1057"/>
      <c r="J128" s="1056" t="str">
        <f>A128</f>
        <v>No. Urut</v>
      </c>
      <c r="K128" s="1058"/>
      <c r="L128" s="1063" t="s">
        <v>231</v>
      </c>
      <c r="M128" s="1064"/>
      <c r="N128" s="1064"/>
      <c r="O128" s="1065"/>
      <c r="P128" s="471"/>
      <c r="Q128" s="471"/>
    </row>
    <row r="129" spans="1:17" ht="13" customHeight="1" x14ac:dyDescent="0.25">
      <c r="A129" s="1056"/>
      <c r="B129" s="1058"/>
      <c r="C129" s="1066" t="str">
        <f>B4</f>
        <v>Setting VAC</v>
      </c>
      <c r="D129" s="1066"/>
      <c r="E129" s="1066"/>
      <c r="F129" s="1066"/>
      <c r="G129" s="200" t="s">
        <v>233</v>
      </c>
      <c r="H129" s="200" t="s">
        <v>173</v>
      </c>
      <c r="J129" s="1056"/>
      <c r="K129" s="1058"/>
      <c r="L129" s="1067" t="str">
        <f>B12</f>
        <v>Current Leakage</v>
      </c>
      <c r="M129" s="1067"/>
      <c r="N129" s="1067"/>
      <c r="O129" s="1067"/>
      <c r="P129" s="200" t="s">
        <v>233</v>
      </c>
      <c r="Q129" s="200" t="s">
        <v>173</v>
      </c>
    </row>
    <row r="130" spans="1:17" ht="14" x14ac:dyDescent="0.25">
      <c r="A130" s="1056"/>
      <c r="B130" s="1058"/>
      <c r="C130" s="197" t="s">
        <v>234</v>
      </c>
      <c r="D130" s="200"/>
      <c r="E130" s="200"/>
      <c r="F130" s="473"/>
      <c r="G130" s="200"/>
      <c r="H130" s="200"/>
      <c r="J130" s="1056"/>
      <c r="K130" s="1058"/>
      <c r="L130" s="197" t="s">
        <v>236</v>
      </c>
      <c r="M130" s="200"/>
      <c r="N130" s="200"/>
      <c r="O130" s="473"/>
      <c r="P130" s="200"/>
      <c r="Q130" s="200"/>
    </row>
    <row r="131" spans="1:17" ht="14" x14ac:dyDescent="0.25">
      <c r="A131" s="1056" t="s">
        <v>49</v>
      </c>
      <c r="B131" s="198">
        <v>1</v>
      </c>
      <c r="C131" s="198">
        <f t="shared" ref="C131:H131" si="71">B6</f>
        <v>150</v>
      </c>
      <c r="D131" s="198">
        <f t="shared" si="71"/>
        <v>0.35</v>
      </c>
      <c r="E131" s="198">
        <f t="shared" si="71"/>
        <v>0.31</v>
      </c>
      <c r="F131" s="198">
        <f t="shared" si="71"/>
        <v>0.76</v>
      </c>
      <c r="G131" s="198">
        <f t="shared" si="71"/>
        <v>0.22500000000000001</v>
      </c>
      <c r="H131" s="198">
        <f t="shared" si="71"/>
        <v>1.2E-2</v>
      </c>
      <c r="J131" s="1056" t="s">
        <v>49</v>
      </c>
      <c r="K131" s="197">
        <v>1</v>
      </c>
      <c r="L131" s="474">
        <f t="shared" ref="L131:Q131" si="72">B14</f>
        <v>9.9999999999999995E-7</v>
      </c>
      <c r="M131" s="474">
        <f t="shared" si="72"/>
        <v>9.9999999999999995E-7</v>
      </c>
      <c r="N131" s="474">
        <f t="shared" si="72"/>
        <v>9.9999999999999995E-7</v>
      </c>
      <c r="O131" s="474">
        <f t="shared" si="72"/>
        <v>9.9999999999999995E-7</v>
      </c>
      <c r="P131" s="474">
        <f t="shared" si="72"/>
        <v>9.9999999999999995E-7</v>
      </c>
      <c r="Q131" s="474">
        <f t="shared" si="72"/>
        <v>5.8999999999999999E-9</v>
      </c>
    </row>
    <row r="132" spans="1:17" ht="14" x14ac:dyDescent="0.25">
      <c r="A132" s="1056"/>
      <c r="B132" s="198">
        <v>2</v>
      </c>
      <c r="C132" s="198">
        <f t="shared" ref="C132:H132" si="73">I6</f>
        <v>150</v>
      </c>
      <c r="D132" s="198">
        <f t="shared" si="73"/>
        <v>0.22</v>
      </c>
      <c r="E132" s="198">
        <f t="shared" si="73"/>
        <v>0.15</v>
      </c>
      <c r="F132" s="198">
        <f t="shared" si="73"/>
        <v>0.23</v>
      </c>
      <c r="G132" s="198">
        <f t="shared" si="73"/>
        <v>4.0000000000000008E-2</v>
      </c>
      <c r="H132" s="198">
        <f t="shared" si="73"/>
        <v>1.8</v>
      </c>
      <c r="J132" s="1056"/>
      <c r="K132" s="197">
        <v>2</v>
      </c>
      <c r="L132" s="474">
        <f t="shared" ref="L132:Q132" si="74">I14</f>
        <v>9.9999999999999995E-7</v>
      </c>
      <c r="M132" s="474">
        <f t="shared" si="74"/>
        <v>9.9999999999999995E-7</v>
      </c>
      <c r="N132" s="474">
        <f t="shared" si="74"/>
        <v>9.9999999999999995E-7</v>
      </c>
      <c r="O132" s="474">
        <f t="shared" si="74"/>
        <v>9.9999999999999995E-7</v>
      </c>
      <c r="P132" s="474">
        <f t="shared" si="74"/>
        <v>9.9999999999999995E-7</v>
      </c>
      <c r="Q132" s="474">
        <f t="shared" si="74"/>
        <v>5.8999999999999999E-9</v>
      </c>
    </row>
    <row r="133" spans="1:17" ht="13" x14ac:dyDescent="0.25">
      <c r="A133" s="1056"/>
      <c r="B133" s="198">
        <v>3</v>
      </c>
      <c r="C133" s="198">
        <f t="shared" ref="C133:H133" si="75">P6</f>
        <v>150</v>
      </c>
      <c r="D133" s="198">
        <f t="shared" si="75"/>
        <v>-1.43</v>
      </c>
      <c r="E133" s="198">
        <f t="shared" si="75"/>
        <v>-1.6</v>
      </c>
      <c r="F133" s="198">
        <f t="shared" si="75"/>
        <v>-7.0000000000000007E-2</v>
      </c>
      <c r="G133" s="198">
        <f t="shared" si="75"/>
        <v>0.76500000000000001</v>
      </c>
      <c r="H133" s="198">
        <f t="shared" si="75"/>
        <v>1.8</v>
      </c>
      <c r="J133" s="1056"/>
      <c r="K133" s="201">
        <v>3</v>
      </c>
      <c r="L133" s="474">
        <f t="shared" ref="L133:Q133" si="76">P14</f>
        <v>9.9999999999999995E-7</v>
      </c>
      <c r="M133" s="474">
        <f t="shared" si="76"/>
        <v>9.9999999999999995E-7</v>
      </c>
      <c r="N133" s="474">
        <f t="shared" si="76"/>
        <v>9.9999999999999995E-7</v>
      </c>
      <c r="O133" s="474">
        <f t="shared" si="76"/>
        <v>9.9999999999999995E-7</v>
      </c>
      <c r="P133" s="474">
        <f t="shared" si="76"/>
        <v>9.9999999999999995E-7</v>
      </c>
      <c r="Q133" s="474">
        <f t="shared" si="76"/>
        <v>5.8999999999999999E-9</v>
      </c>
    </row>
    <row r="134" spans="1:17" ht="13" x14ac:dyDescent="0.25">
      <c r="A134" s="1056"/>
      <c r="B134" s="198">
        <v>4</v>
      </c>
      <c r="C134" s="199">
        <f t="shared" ref="C134:H134" si="77">B37</f>
        <v>150</v>
      </c>
      <c r="D134" s="198">
        <f t="shared" si="77"/>
        <v>0.08</v>
      </c>
      <c r="E134" s="198">
        <f t="shared" si="77"/>
        <v>-0.05</v>
      </c>
      <c r="F134" s="198">
        <f t="shared" si="77"/>
        <v>0.11</v>
      </c>
      <c r="G134" s="198">
        <f t="shared" si="77"/>
        <v>0.08</v>
      </c>
      <c r="H134" s="198">
        <f t="shared" si="77"/>
        <v>1.8</v>
      </c>
      <c r="J134" s="1056"/>
      <c r="K134" s="201">
        <v>4</v>
      </c>
      <c r="L134" s="474">
        <f t="shared" ref="L134:Q134" si="78">B45</f>
        <v>9.9999999999999995E-7</v>
      </c>
      <c r="M134" s="474">
        <f t="shared" si="78"/>
        <v>9.9999999999999995E-7</v>
      </c>
      <c r="N134" s="474">
        <f t="shared" si="78"/>
        <v>9.9999999999999995E-7</v>
      </c>
      <c r="O134" s="474">
        <f t="shared" si="78"/>
        <v>9.9999999999999995E-7</v>
      </c>
      <c r="P134" s="474">
        <f t="shared" si="78"/>
        <v>9.9999999999999995E-7</v>
      </c>
      <c r="Q134" s="474">
        <f t="shared" si="78"/>
        <v>5.8999999999999999E-9</v>
      </c>
    </row>
    <row r="135" spans="1:17" ht="13" x14ac:dyDescent="0.25">
      <c r="A135" s="1056"/>
      <c r="B135" s="198">
        <v>5</v>
      </c>
      <c r="C135" s="199">
        <f t="shared" ref="C135:H135" si="79">I37</f>
        <v>150</v>
      </c>
      <c r="D135" s="198">
        <f t="shared" si="79"/>
        <v>0.02</v>
      </c>
      <c r="E135" s="198">
        <f t="shared" si="79"/>
        <v>0.25</v>
      </c>
      <c r="F135" s="198">
        <f t="shared" si="79"/>
        <v>0.02</v>
      </c>
      <c r="G135" s="198">
        <f t="shared" si="79"/>
        <v>0.115</v>
      </c>
      <c r="H135" s="198">
        <f t="shared" si="79"/>
        <v>1.8</v>
      </c>
      <c r="J135" s="1056"/>
      <c r="K135" s="200">
        <v>5</v>
      </c>
      <c r="L135" s="474">
        <f t="shared" ref="L135:Q135" si="80">I45</f>
        <v>9.9999999999999995E-7</v>
      </c>
      <c r="M135" s="474">
        <f t="shared" si="80"/>
        <v>9.9999999999999995E-7</v>
      </c>
      <c r="N135" s="474">
        <f t="shared" si="80"/>
        <v>9.9999999999999995E-7</v>
      </c>
      <c r="O135" s="474">
        <f t="shared" si="80"/>
        <v>9.9999999999999995E-7</v>
      </c>
      <c r="P135" s="474">
        <f t="shared" si="80"/>
        <v>9.9999999999999995E-7</v>
      </c>
      <c r="Q135" s="474">
        <f t="shared" si="80"/>
        <v>5.8999999999999999E-9</v>
      </c>
    </row>
    <row r="136" spans="1:17" ht="13" x14ac:dyDescent="0.25">
      <c r="A136" s="1056"/>
      <c r="B136" s="198">
        <v>6</v>
      </c>
      <c r="C136" s="199">
        <f t="shared" ref="C136:H136" si="81">P37</f>
        <v>150</v>
      </c>
      <c r="D136" s="198">
        <f t="shared" si="81"/>
        <v>0.15</v>
      </c>
      <c r="E136" s="198">
        <f t="shared" si="81"/>
        <v>-0.15</v>
      </c>
      <c r="F136" s="198">
        <f t="shared" si="81"/>
        <v>0.03</v>
      </c>
      <c r="G136" s="198">
        <f t="shared" si="81"/>
        <v>0.15</v>
      </c>
      <c r="H136" s="198">
        <f t="shared" si="81"/>
        <v>1.8</v>
      </c>
      <c r="J136" s="1056"/>
      <c r="K136" s="200">
        <v>6</v>
      </c>
      <c r="L136" s="474">
        <f t="shared" ref="L136:Q136" si="82">P45</f>
        <v>9.9999999999999995E-7</v>
      </c>
      <c r="M136" s="474">
        <f t="shared" si="82"/>
        <v>9.9999999999999995E-7</v>
      </c>
      <c r="N136" s="474">
        <f t="shared" si="82"/>
        <v>9.9999999999999995E-7</v>
      </c>
      <c r="O136" s="474">
        <f t="shared" si="82"/>
        <v>9.9999999999999995E-7</v>
      </c>
      <c r="P136" s="474">
        <f t="shared" si="82"/>
        <v>9.9999999999999995E-7</v>
      </c>
      <c r="Q136" s="474">
        <f t="shared" si="82"/>
        <v>5.8999999999999999E-9</v>
      </c>
    </row>
    <row r="137" spans="1:17" ht="13" x14ac:dyDescent="0.25">
      <c r="A137" s="1056"/>
      <c r="B137" s="198">
        <v>7</v>
      </c>
      <c r="C137" s="199">
        <f t="shared" ref="C137:H137" si="83">B68</f>
        <v>150.21</v>
      </c>
      <c r="D137" s="198">
        <f t="shared" si="83"/>
        <v>0.36</v>
      </c>
      <c r="E137" s="198">
        <f t="shared" si="83"/>
        <v>0.21</v>
      </c>
      <c r="F137" s="198">
        <f t="shared" si="83"/>
        <v>0.27</v>
      </c>
      <c r="G137" s="198">
        <f t="shared" si="83"/>
        <v>7.4999999999999997E-2</v>
      </c>
      <c r="H137" s="198">
        <f t="shared" si="83"/>
        <v>1.8025200000000001</v>
      </c>
      <c r="J137" s="1056"/>
      <c r="K137" s="200">
        <v>7</v>
      </c>
      <c r="L137" s="474">
        <f t="shared" ref="L137:Q137" si="84">B76</f>
        <v>9.9999999999999995E-7</v>
      </c>
      <c r="M137" s="474">
        <f t="shared" si="84"/>
        <v>9.9999999999999995E-7</v>
      </c>
      <c r="N137" s="474">
        <f t="shared" si="84"/>
        <v>9.9999999999999995E-7</v>
      </c>
      <c r="O137" s="474">
        <f t="shared" si="84"/>
        <v>9.9999999999999995E-7</v>
      </c>
      <c r="P137" s="474">
        <f t="shared" si="84"/>
        <v>9.9999999999999995E-7</v>
      </c>
      <c r="Q137" s="474">
        <f t="shared" si="84"/>
        <v>5.8999999999999999E-9</v>
      </c>
    </row>
    <row r="138" spans="1:17" ht="13" x14ac:dyDescent="0.25">
      <c r="A138" s="1056"/>
      <c r="B138" s="198">
        <v>8</v>
      </c>
      <c r="C138" s="199">
        <f t="shared" ref="C138:H138" si="85">I68</f>
        <v>150</v>
      </c>
      <c r="D138" s="198">
        <f t="shared" si="85"/>
        <v>-0.17</v>
      </c>
      <c r="E138" s="198">
        <f t="shared" si="85"/>
        <v>-0.24</v>
      </c>
      <c r="F138" s="198" t="str">
        <f t="shared" si="85"/>
        <v>-</v>
      </c>
      <c r="G138" s="198">
        <f t="shared" si="85"/>
        <v>3.4999999999999989E-2</v>
      </c>
      <c r="H138" s="198">
        <f t="shared" si="85"/>
        <v>1.8</v>
      </c>
      <c r="J138" s="1056"/>
      <c r="K138" s="200">
        <v>8</v>
      </c>
      <c r="L138" s="474">
        <f t="shared" ref="L138:Q138" si="86">I76</f>
        <v>9.9999999999999995E-7</v>
      </c>
      <c r="M138" s="474">
        <f t="shared" si="86"/>
        <v>9.9999999999999995E-7</v>
      </c>
      <c r="N138" s="474">
        <f t="shared" si="86"/>
        <v>9.9999999999999995E-7</v>
      </c>
      <c r="O138" s="474" t="str">
        <f t="shared" si="86"/>
        <v>-</v>
      </c>
      <c r="P138" s="474">
        <f t="shared" si="86"/>
        <v>9.9999999999999995E-7</v>
      </c>
      <c r="Q138" s="474">
        <f t="shared" si="86"/>
        <v>5.8999999999999999E-9</v>
      </c>
    </row>
    <row r="139" spans="1:17" ht="13" x14ac:dyDescent="0.25">
      <c r="A139" s="1056"/>
      <c r="B139" s="198">
        <v>9</v>
      </c>
      <c r="C139" s="199">
        <f t="shared" ref="C139:H139" si="87">P68</f>
        <v>149.83000000000001</v>
      </c>
      <c r="D139" s="198">
        <f t="shared" si="87"/>
        <v>-0.08</v>
      </c>
      <c r="E139" s="198">
        <f t="shared" si="87"/>
        <v>-0.17</v>
      </c>
      <c r="F139" s="198" t="str">
        <f t="shared" si="87"/>
        <v>-</v>
      </c>
      <c r="G139" s="198">
        <f t="shared" si="87"/>
        <v>4.5000000000000005E-2</v>
      </c>
      <c r="H139" s="198">
        <f t="shared" si="87"/>
        <v>1.7979600000000002</v>
      </c>
      <c r="J139" s="1056"/>
      <c r="K139" s="200">
        <v>9</v>
      </c>
      <c r="L139" s="474">
        <f t="shared" ref="L139:Q139" si="88">P76</f>
        <v>9.9999999999999995E-7</v>
      </c>
      <c r="M139" s="474">
        <f t="shared" si="88"/>
        <v>9.9999999999999995E-7</v>
      </c>
      <c r="N139" s="474">
        <f t="shared" si="88"/>
        <v>9.9999999999999995E-7</v>
      </c>
      <c r="O139" s="474" t="str">
        <f t="shared" si="88"/>
        <v>-</v>
      </c>
      <c r="P139" s="474">
        <f t="shared" si="88"/>
        <v>9.9999999999999995E-7</v>
      </c>
      <c r="Q139" s="474">
        <f t="shared" si="88"/>
        <v>5.8999999999999999E-9</v>
      </c>
    </row>
    <row r="140" spans="1:17" ht="13" x14ac:dyDescent="0.25">
      <c r="A140" s="1056"/>
      <c r="B140" s="198">
        <v>10</v>
      </c>
      <c r="C140" s="199">
        <f>B99</f>
        <v>150</v>
      </c>
      <c r="D140" s="198">
        <f t="shared" ref="D140:F140" si="89">C99</f>
        <v>-0.05</v>
      </c>
      <c r="E140" s="198" t="str">
        <f t="shared" si="89"/>
        <v>-</v>
      </c>
      <c r="F140" s="198" t="str">
        <f t="shared" si="89"/>
        <v>-</v>
      </c>
      <c r="G140" s="198">
        <f>F99</f>
        <v>0</v>
      </c>
      <c r="H140" s="198" t="str">
        <f>G99</f>
        <v>-</v>
      </c>
      <c r="J140" s="1056"/>
      <c r="K140" s="200">
        <v>10</v>
      </c>
      <c r="L140" s="474">
        <f t="shared" ref="L140:Q140" si="90">B107</f>
        <v>0</v>
      </c>
      <c r="M140" s="474">
        <f t="shared" si="90"/>
        <v>9.9999999999999995E-7</v>
      </c>
      <c r="N140" s="474" t="str">
        <f t="shared" si="90"/>
        <v>-</v>
      </c>
      <c r="O140" s="474" t="str">
        <f t="shared" si="90"/>
        <v>-</v>
      </c>
      <c r="P140" s="474">
        <f t="shared" si="90"/>
        <v>0</v>
      </c>
      <c r="Q140" s="474" t="str">
        <f t="shared" si="90"/>
        <v>-</v>
      </c>
    </row>
    <row r="141" spans="1:17" ht="13" x14ac:dyDescent="0.25">
      <c r="A141" s="1056"/>
      <c r="B141" s="198">
        <v>11</v>
      </c>
      <c r="C141" s="199">
        <f>I99</f>
        <v>150</v>
      </c>
      <c r="D141" s="198">
        <f t="shared" ref="D141:F141" si="91">J99</f>
        <v>9.9999999999999995E-7</v>
      </c>
      <c r="E141" s="198" t="str">
        <f t="shared" si="91"/>
        <v>-</v>
      </c>
      <c r="F141" s="198" t="str">
        <f t="shared" si="91"/>
        <v>-</v>
      </c>
      <c r="G141" s="198">
        <f>M99</f>
        <v>0</v>
      </c>
      <c r="H141" s="198" t="str">
        <f>N99</f>
        <v>-</v>
      </c>
      <c r="J141" s="1056"/>
      <c r="K141" s="200">
        <v>11</v>
      </c>
      <c r="L141" s="474">
        <f t="shared" ref="L141:Q141" si="92">I107</f>
        <v>0</v>
      </c>
      <c r="M141" s="474">
        <f t="shared" si="92"/>
        <v>9.9999999999999995E-7</v>
      </c>
      <c r="N141" s="474" t="str">
        <f t="shared" si="92"/>
        <v>-</v>
      </c>
      <c r="O141" s="474" t="str">
        <f t="shared" si="92"/>
        <v>-</v>
      </c>
      <c r="P141" s="474">
        <f t="shared" si="92"/>
        <v>0</v>
      </c>
      <c r="Q141" s="474" t="str">
        <f t="shared" si="92"/>
        <v>-</v>
      </c>
    </row>
    <row r="142" spans="1:17" ht="13" x14ac:dyDescent="0.25">
      <c r="A142" s="1056"/>
      <c r="B142" s="198">
        <v>12</v>
      </c>
      <c r="C142" s="199">
        <f>P99</f>
        <v>150</v>
      </c>
      <c r="D142" s="198">
        <f t="shared" ref="D142:F142" si="93">Q99</f>
        <v>9.9999999999999995E-7</v>
      </c>
      <c r="E142" s="198" t="str">
        <f t="shared" si="93"/>
        <v>-</v>
      </c>
      <c r="F142" s="198" t="str">
        <f t="shared" si="93"/>
        <v>-</v>
      </c>
      <c r="G142" s="198">
        <f>T99</f>
        <v>0</v>
      </c>
      <c r="H142" s="198" t="str">
        <f>U99</f>
        <v>-</v>
      </c>
      <c r="J142" s="1056"/>
      <c r="K142" s="200">
        <v>12</v>
      </c>
      <c r="L142" s="474">
        <f t="shared" ref="L142:Q142" si="94">P107</f>
        <v>0</v>
      </c>
      <c r="M142" s="474">
        <f t="shared" si="94"/>
        <v>9.9999999999999995E-7</v>
      </c>
      <c r="N142" s="474" t="str">
        <f t="shared" si="94"/>
        <v>-</v>
      </c>
      <c r="O142" s="474" t="str">
        <f t="shared" si="94"/>
        <v>-</v>
      </c>
      <c r="P142" s="474">
        <f t="shared" si="94"/>
        <v>0</v>
      </c>
      <c r="Q142" s="474" t="str">
        <f t="shared" si="94"/>
        <v>-</v>
      </c>
    </row>
    <row r="143" spans="1:17" s="65" customFormat="1" ht="13" x14ac:dyDescent="0.25">
      <c r="A143" s="203"/>
      <c r="B143" s="203"/>
      <c r="C143" s="205"/>
      <c r="D143" s="205"/>
      <c r="E143" s="205"/>
      <c r="F143" s="475"/>
      <c r="G143" s="205"/>
      <c r="H143" s="205"/>
      <c r="J143" s="203"/>
      <c r="K143" s="203"/>
      <c r="L143" s="476"/>
      <c r="M143" s="476"/>
      <c r="N143" s="476"/>
      <c r="O143" s="475"/>
      <c r="P143" s="476"/>
      <c r="Q143" s="476"/>
    </row>
    <row r="144" spans="1:17" ht="14" x14ac:dyDescent="0.25">
      <c r="A144" s="1056" t="s">
        <v>50</v>
      </c>
      <c r="B144" s="197">
        <v>1</v>
      </c>
      <c r="C144" s="197">
        <f t="shared" ref="C144:H144" si="95">B7</f>
        <v>180</v>
      </c>
      <c r="D144" s="197">
        <f t="shared" si="95"/>
        <v>-0.1</v>
      </c>
      <c r="E144" s="197">
        <f t="shared" si="95"/>
        <v>0.1</v>
      </c>
      <c r="F144" s="197">
        <f t="shared" si="95"/>
        <v>-0.03</v>
      </c>
      <c r="G144" s="197">
        <f t="shared" si="95"/>
        <v>0.1</v>
      </c>
      <c r="H144" s="197">
        <f t="shared" si="95"/>
        <v>2.16</v>
      </c>
      <c r="J144" s="1056" t="s">
        <v>50</v>
      </c>
      <c r="K144" s="197">
        <v>1</v>
      </c>
      <c r="L144" s="200">
        <f t="shared" ref="L144:Q144" si="96">B15</f>
        <v>50</v>
      </c>
      <c r="M144" s="200">
        <f t="shared" si="96"/>
        <v>4</v>
      </c>
      <c r="N144" s="200">
        <f t="shared" si="96"/>
        <v>0.1</v>
      </c>
      <c r="O144" s="200">
        <f t="shared" si="96"/>
        <v>-0.06</v>
      </c>
      <c r="P144" s="200">
        <f t="shared" si="96"/>
        <v>2.0299999999999998</v>
      </c>
      <c r="Q144" s="200">
        <f t="shared" si="96"/>
        <v>0.29499999999999998</v>
      </c>
    </row>
    <row r="145" spans="1:17" ht="14" x14ac:dyDescent="0.25">
      <c r="A145" s="1056"/>
      <c r="B145" s="197">
        <v>2</v>
      </c>
      <c r="C145" s="197">
        <f t="shared" ref="C145:H145" si="97">I7</f>
        <v>180</v>
      </c>
      <c r="D145" s="197">
        <f t="shared" si="97"/>
        <v>0.1</v>
      </c>
      <c r="E145" s="197">
        <f t="shared" si="97"/>
        <v>0.12</v>
      </c>
      <c r="F145" s="197">
        <f t="shared" si="97"/>
        <v>-0.06</v>
      </c>
      <c r="G145" s="197">
        <f>M7</f>
        <v>0.09</v>
      </c>
      <c r="H145" s="197">
        <f t="shared" si="97"/>
        <v>2.16</v>
      </c>
      <c r="J145" s="1056"/>
      <c r="K145" s="197">
        <v>2</v>
      </c>
      <c r="L145" s="200">
        <f t="shared" ref="L145:Q145" si="98">I15</f>
        <v>50</v>
      </c>
      <c r="M145" s="200">
        <f t="shared" si="98"/>
        <v>1</v>
      </c>
      <c r="N145" s="200">
        <f t="shared" si="98"/>
        <v>-0.08</v>
      </c>
      <c r="O145" s="200">
        <f t="shared" si="98"/>
        <v>0.1</v>
      </c>
      <c r="P145" s="200">
        <f t="shared" si="98"/>
        <v>0.54</v>
      </c>
      <c r="Q145" s="200">
        <f t="shared" si="98"/>
        <v>0.29499999999999998</v>
      </c>
    </row>
    <row r="146" spans="1:17" ht="14" x14ac:dyDescent="0.25">
      <c r="A146" s="1056"/>
      <c r="B146" s="201">
        <v>3</v>
      </c>
      <c r="C146" s="197">
        <f t="shared" ref="C146:H146" si="99">P7</f>
        <v>180</v>
      </c>
      <c r="D146" s="197">
        <f t="shared" si="99"/>
        <v>-1.81</v>
      </c>
      <c r="E146" s="197">
        <f t="shared" si="99"/>
        <v>-1.9</v>
      </c>
      <c r="F146" s="197">
        <f t="shared" si="99"/>
        <v>-0.13</v>
      </c>
      <c r="G146" s="197">
        <f t="shared" si="99"/>
        <v>0.88500000000000001</v>
      </c>
      <c r="H146" s="197">
        <f t="shared" si="99"/>
        <v>2.16</v>
      </c>
      <c r="J146" s="1056"/>
      <c r="K146" s="201">
        <v>3</v>
      </c>
      <c r="L146" s="200">
        <f t="shared" ref="L146:Q146" si="100">P15</f>
        <v>50</v>
      </c>
      <c r="M146" s="200">
        <f t="shared" si="100"/>
        <v>9.1</v>
      </c>
      <c r="N146" s="200">
        <f t="shared" si="100"/>
        <v>-0.62</v>
      </c>
      <c r="O146" s="200">
        <f t="shared" si="100"/>
        <v>2</v>
      </c>
      <c r="P146" s="200">
        <f t="shared" si="100"/>
        <v>4.8599999999999994</v>
      </c>
      <c r="Q146" s="200">
        <f t="shared" si="100"/>
        <v>0.29499999999999998</v>
      </c>
    </row>
    <row r="147" spans="1:17" ht="14" x14ac:dyDescent="0.25">
      <c r="A147" s="1056"/>
      <c r="B147" s="201">
        <v>4</v>
      </c>
      <c r="C147" s="197">
        <f t="shared" ref="C147:H147" si="101">B38</f>
        <v>180</v>
      </c>
      <c r="D147" s="197">
        <f t="shared" si="101"/>
        <v>0.11</v>
      </c>
      <c r="E147" s="197">
        <f t="shared" si="101"/>
        <v>-0.04</v>
      </c>
      <c r="F147" s="197">
        <f t="shared" si="101"/>
        <v>0.03</v>
      </c>
      <c r="G147" s="197">
        <f t="shared" si="101"/>
        <v>7.4999999999999997E-2</v>
      </c>
      <c r="H147" s="197">
        <f t="shared" si="101"/>
        <v>2.16</v>
      </c>
      <c r="J147" s="1056"/>
      <c r="K147" s="201">
        <v>4</v>
      </c>
      <c r="L147" s="200">
        <f t="shared" ref="L147:Q147" si="102">B46</f>
        <v>50</v>
      </c>
      <c r="M147" s="200">
        <f t="shared" si="102"/>
        <v>9.9999999999999995E-7</v>
      </c>
      <c r="N147" s="200">
        <f t="shared" si="102"/>
        <v>-0.3</v>
      </c>
      <c r="O147" s="200">
        <f t="shared" si="102"/>
        <v>-0.28999999999999998</v>
      </c>
      <c r="P147" s="200">
        <f t="shared" si="102"/>
        <v>0.15000049999999998</v>
      </c>
      <c r="Q147" s="200">
        <f t="shared" si="102"/>
        <v>0.29499999999999998</v>
      </c>
    </row>
    <row r="148" spans="1:17" ht="14" x14ac:dyDescent="0.25">
      <c r="A148" s="1056"/>
      <c r="B148" s="200">
        <v>5</v>
      </c>
      <c r="C148" s="197">
        <f t="shared" ref="C148:H148" si="103">I38</f>
        <v>180</v>
      </c>
      <c r="D148" s="197">
        <f t="shared" si="103"/>
        <v>-0.08</v>
      </c>
      <c r="E148" s="197">
        <f t="shared" si="103"/>
        <v>0.09</v>
      </c>
      <c r="F148" s="197">
        <f t="shared" si="103"/>
        <v>0.1</v>
      </c>
      <c r="G148" s="197">
        <f t="shared" si="103"/>
        <v>0.09</v>
      </c>
      <c r="H148" s="197">
        <f t="shared" si="103"/>
        <v>2.16</v>
      </c>
      <c r="J148" s="1056"/>
      <c r="K148" s="200">
        <v>5</v>
      </c>
      <c r="L148" s="200">
        <f t="shared" ref="L148:Q148" si="104">I46</f>
        <v>50</v>
      </c>
      <c r="M148" s="200">
        <f t="shared" si="104"/>
        <v>4.0999999999999996</v>
      </c>
      <c r="N148" s="200">
        <f t="shared" si="104"/>
        <v>0.3</v>
      </c>
      <c r="O148" s="200">
        <f t="shared" si="104"/>
        <v>-0.33</v>
      </c>
      <c r="P148" s="200">
        <f t="shared" si="104"/>
        <v>2.2149999999999999</v>
      </c>
      <c r="Q148" s="200">
        <f t="shared" si="104"/>
        <v>0.29499999999999998</v>
      </c>
    </row>
    <row r="149" spans="1:17" ht="14" x14ac:dyDescent="0.25">
      <c r="A149" s="1056"/>
      <c r="B149" s="200">
        <v>6</v>
      </c>
      <c r="C149" s="197">
        <f t="shared" ref="C149:H149" si="105">P38</f>
        <v>180</v>
      </c>
      <c r="D149" s="197">
        <f t="shared" si="105"/>
        <v>0.17</v>
      </c>
      <c r="E149" s="197">
        <f t="shared" si="105"/>
        <v>-0.11</v>
      </c>
      <c r="F149" s="197">
        <f t="shared" si="105"/>
        <v>9.9999999999999995E-7</v>
      </c>
      <c r="G149" s="197">
        <f t="shared" si="105"/>
        <v>0.14000000000000001</v>
      </c>
      <c r="H149" s="197">
        <f t="shared" si="105"/>
        <v>2.16</v>
      </c>
      <c r="J149" s="1056"/>
      <c r="K149" s="200">
        <v>6</v>
      </c>
      <c r="L149" s="200">
        <f t="shared" ref="L149:Q149" si="106">P46</f>
        <v>50</v>
      </c>
      <c r="M149" s="200">
        <f t="shared" si="106"/>
        <v>19.100000000000001</v>
      </c>
      <c r="N149" s="200">
        <f t="shared" si="106"/>
        <v>0.02</v>
      </c>
      <c r="O149" s="200">
        <f t="shared" si="106"/>
        <v>-0.1</v>
      </c>
      <c r="P149" s="200">
        <f t="shared" si="106"/>
        <v>9.6000000000000014</v>
      </c>
      <c r="Q149" s="200">
        <f t="shared" si="106"/>
        <v>0.29499999999999998</v>
      </c>
    </row>
    <row r="150" spans="1:17" ht="14" x14ac:dyDescent="0.25">
      <c r="A150" s="1056"/>
      <c r="B150" s="200">
        <v>7</v>
      </c>
      <c r="C150" s="197">
        <f t="shared" ref="C150:H150" si="107">B69</f>
        <v>180.33</v>
      </c>
      <c r="D150" s="197">
        <f t="shared" si="107"/>
        <v>0.46</v>
      </c>
      <c r="E150" s="197">
        <f t="shared" si="107"/>
        <v>0.33</v>
      </c>
      <c r="F150" s="197">
        <f t="shared" si="107"/>
        <v>0.37</v>
      </c>
      <c r="G150" s="197">
        <f t="shared" si="107"/>
        <v>6.5000000000000002E-2</v>
      </c>
      <c r="H150" s="197">
        <f t="shared" si="107"/>
        <v>2.1639600000000003</v>
      </c>
      <c r="J150" s="1056"/>
      <c r="K150" s="200">
        <v>7</v>
      </c>
      <c r="L150" s="200">
        <f t="shared" ref="L150:Q150" si="108">B77</f>
        <v>50</v>
      </c>
      <c r="M150" s="200">
        <f t="shared" si="108"/>
        <v>1.9</v>
      </c>
      <c r="N150" s="200">
        <f t="shared" si="108"/>
        <v>1.7</v>
      </c>
      <c r="O150" s="200">
        <f t="shared" si="108"/>
        <v>2.1</v>
      </c>
      <c r="P150" s="200">
        <f t="shared" si="108"/>
        <v>0.20000000000000007</v>
      </c>
      <c r="Q150" s="200">
        <f t="shared" si="108"/>
        <v>0.29499999999999998</v>
      </c>
    </row>
    <row r="151" spans="1:17" ht="14" x14ac:dyDescent="0.25">
      <c r="A151" s="1056"/>
      <c r="B151" s="200">
        <v>8</v>
      </c>
      <c r="C151" s="197">
        <f t="shared" ref="C151:H151" si="109">I69</f>
        <v>180</v>
      </c>
      <c r="D151" s="197">
        <f t="shared" si="109"/>
        <v>-0.39</v>
      </c>
      <c r="E151" s="197">
        <f t="shared" si="109"/>
        <v>-0.14000000000000001</v>
      </c>
      <c r="F151" s="197" t="str">
        <f t="shared" si="109"/>
        <v>-</v>
      </c>
      <c r="G151" s="197">
        <f t="shared" si="109"/>
        <v>0.125</v>
      </c>
      <c r="H151" s="197">
        <f t="shared" si="109"/>
        <v>2.16</v>
      </c>
      <c r="J151" s="1056"/>
      <c r="K151" s="200">
        <v>8</v>
      </c>
      <c r="L151" s="200">
        <f t="shared" ref="L151:Q151" si="110">I77</f>
        <v>20</v>
      </c>
      <c r="M151" s="200">
        <f t="shared" si="110"/>
        <v>6.6</v>
      </c>
      <c r="N151" s="200">
        <f t="shared" si="110"/>
        <v>0.9</v>
      </c>
      <c r="O151" s="200" t="str">
        <f t="shared" si="110"/>
        <v>-</v>
      </c>
      <c r="P151" s="200">
        <f t="shared" si="110"/>
        <v>2.8499999999999996</v>
      </c>
      <c r="Q151" s="200">
        <f t="shared" si="110"/>
        <v>0.11799999999999999</v>
      </c>
    </row>
    <row r="152" spans="1:17" ht="14" x14ac:dyDescent="0.25">
      <c r="A152" s="1056"/>
      <c r="B152" s="200">
        <v>9</v>
      </c>
      <c r="C152" s="197">
        <f t="shared" ref="C152:H152" si="111">P69</f>
        <v>179.78</v>
      </c>
      <c r="D152" s="197">
        <f t="shared" si="111"/>
        <v>-0.2</v>
      </c>
      <c r="E152" s="197">
        <f t="shared" si="111"/>
        <v>-0.22</v>
      </c>
      <c r="F152" s="197" t="str">
        <f t="shared" si="111"/>
        <v>-</v>
      </c>
      <c r="G152" s="197">
        <f t="shared" si="111"/>
        <v>9.999999999999995E-3</v>
      </c>
      <c r="H152" s="197">
        <f t="shared" si="111"/>
        <v>2.1573600000000002</v>
      </c>
      <c r="J152" s="1056"/>
      <c r="K152" s="200">
        <v>9</v>
      </c>
      <c r="L152" s="200">
        <f t="shared" ref="L152:Q152" si="112">P77</f>
        <v>20.8</v>
      </c>
      <c r="M152" s="200">
        <f t="shared" si="112"/>
        <v>4.9000000000000004</v>
      </c>
      <c r="N152" s="200">
        <f t="shared" si="112"/>
        <v>0.8</v>
      </c>
      <c r="O152" s="200" t="str">
        <f t="shared" si="112"/>
        <v>-</v>
      </c>
      <c r="P152" s="200">
        <f t="shared" si="112"/>
        <v>2.0500000000000003</v>
      </c>
      <c r="Q152" s="200">
        <f t="shared" si="112"/>
        <v>0.12272</v>
      </c>
    </row>
    <row r="153" spans="1:17" ht="14" x14ac:dyDescent="0.25">
      <c r="A153" s="1056"/>
      <c r="B153" s="200">
        <v>10</v>
      </c>
      <c r="C153" s="197">
        <f>B100</f>
        <v>180</v>
      </c>
      <c r="D153" s="197">
        <f t="shared" ref="D153:F153" si="113">C100</f>
        <v>-0.04</v>
      </c>
      <c r="E153" s="197" t="str">
        <f t="shared" si="113"/>
        <v>-</v>
      </c>
      <c r="F153" s="197" t="str">
        <f t="shared" si="113"/>
        <v>-</v>
      </c>
      <c r="G153" s="197">
        <f>F100</f>
        <v>0</v>
      </c>
      <c r="H153" s="197" t="str">
        <f>G100</f>
        <v>-</v>
      </c>
      <c r="J153" s="1056"/>
      <c r="K153" s="200">
        <v>10</v>
      </c>
      <c r="L153" s="200">
        <f t="shared" ref="L153:Q153" si="114">B108</f>
        <v>50</v>
      </c>
      <c r="M153" s="200">
        <f t="shared" si="114"/>
        <v>0.4</v>
      </c>
      <c r="N153" s="200" t="str">
        <f t="shared" si="114"/>
        <v>-</v>
      </c>
      <c r="O153" s="200" t="str">
        <f t="shared" si="114"/>
        <v>-</v>
      </c>
      <c r="P153" s="200">
        <f t="shared" si="114"/>
        <v>0</v>
      </c>
      <c r="Q153" s="200" t="str">
        <f t="shared" si="114"/>
        <v>-</v>
      </c>
    </row>
    <row r="154" spans="1:17" ht="14" x14ac:dyDescent="0.25">
      <c r="A154" s="1056"/>
      <c r="B154" s="200">
        <v>11</v>
      </c>
      <c r="C154" s="197">
        <f>I100</f>
        <v>180</v>
      </c>
      <c r="D154" s="197">
        <f t="shared" ref="D154:F154" si="115">J100</f>
        <v>9.9999999999999995E-7</v>
      </c>
      <c r="E154" s="197" t="str">
        <f t="shared" si="115"/>
        <v>-</v>
      </c>
      <c r="F154" s="197" t="str">
        <f t="shared" si="115"/>
        <v>-</v>
      </c>
      <c r="G154" s="197">
        <f>M100</f>
        <v>0</v>
      </c>
      <c r="H154" s="197" t="str">
        <f>N100</f>
        <v>-</v>
      </c>
      <c r="J154" s="1056"/>
      <c r="K154" s="200">
        <v>11</v>
      </c>
      <c r="L154" s="200">
        <f t="shared" ref="L154:Q154" si="116">I108</f>
        <v>50</v>
      </c>
      <c r="M154" s="200">
        <f t="shared" si="116"/>
        <v>9.9999999999999995E-7</v>
      </c>
      <c r="N154" s="200" t="str">
        <f t="shared" si="116"/>
        <v>-</v>
      </c>
      <c r="O154" s="200" t="str">
        <f t="shared" si="116"/>
        <v>-</v>
      </c>
      <c r="P154" s="200">
        <f t="shared" si="116"/>
        <v>0</v>
      </c>
      <c r="Q154" s="200" t="str">
        <f t="shared" si="116"/>
        <v>-</v>
      </c>
    </row>
    <row r="155" spans="1:17" ht="14" x14ac:dyDescent="0.25">
      <c r="A155" s="1056"/>
      <c r="B155" s="200">
        <v>12</v>
      </c>
      <c r="C155" s="197">
        <f>P100</f>
        <v>180</v>
      </c>
      <c r="D155" s="197">
        <f t="shared" ref="D155:F155" si="117">Q100</f>
        <v>9.9999999999999995E-7</v>
      </c>
      <c r="E155" s="197" t="str">
        <f t="shared" si="117"/>
        <v>-</v>
      </c>
      <c r="F155" s="197" t="str">
        <f t="shared" si="117"/>
        <v>-</v>
      </c>
      <c r="G155" s="197">
        <f>T100</f>
        <v>0</v>
      </c>
      <c r="H155" s="197" t="str">
        <f>U100</f>
        <v>-</v>
      </c>
      <c r="J155" s="1056"/>
      <c r="K155" s="200">
        <v>12</v>
      </c>
      <c r="L155" s="200">
        <f t="shared" ref="L155:Q155" si="118">P108</f>
        <v>50</v>
      </c>
      <c r="M155" s="200">
        <f t="shared" si="118"/>
        <v>9.9999999999999995E-7</v>
      </c>
      <c r="N155" s="200" t="str">
        <f t="shared" si="118"/>
        <v>-</v>
      </c>
      <c r="O155" s="200" t="str">
        <f t="shared" si="118"/>
        <v>-</v>
      </c>
      <c r="P155" s="200">
        <f t="shared" si="118"/>
        <v>0</v>
      </c>
      <c r="Q155" s="200" t="str">
        <f t="shared" si="118"/>
        <v>-</v>
      </c>
    </row>
    <row r="156" spans="1:17" s="65" customFormat="1" x14ac:dyDescent="0.25">
      <c r="A156" s="203"/>
      <c r="B156" s="203"/>
      <c r="C156" s="203"/>
      <c r="D156" s="203"/>
      <c r="E156" s="203"/>
      <c r="F156" s="475"/>
      <c r="G156" s="203"/>
      <c r="H156" s="203"/>
      <c r="J156" s="203"/>
      <c r="K156" s="203"/>
      <c r="L156" s="203"/>
      <c r="M156" s="203"/>
      <c r="N156" s="203"/>
      <c r="O156" s="475"/>
      <c r="P156" s="203"/>
      <c r="Q156" s="203"/>
    </row>
    <row r="157" spans="1:17" ht="14" x14ac:dyDescent="0.25">
      <c r="A157" s="1056" t="s">
        <v>51</v>
      </c>
      <c r="B157" s="197">
        <v>1</v>
      </c>
      <c r="C157" s="197">
        <f t="shared" ref="C157:H157" si="119">B8</f>
        <v>200</v>
      </c>
      <c r="D157" s="197">
        <f t="shared" si="119"/>
        <v>-0.17</v>
      </c>
      <c r="E157" s="197">
        <f t="shared" si="119"/>
        <v>-0.04</v>
      </c>
      <c r="F157" s="197">
        <f t="shared" si="119"/>
        <v>-0.16</v>
      </c>
      <c r="G157" s="197">
        <f t="shared" si="119"/>
        <v>6.5000000000000002E-2</v>
      </c>
      <c r="H157" s="197">
        <f t="shared" si="119"/>
        <v>2.4</v>
      </c>
      <c r="J157" s="1056" t="s">
        <v>51</v>
      </c>
      <c r="K157" s="197">
        <v>1</v>
      </c>
      <c r="L157" s="200">
        <f t="shared" ref="L157:Q157" si="120">B16</f>
        <v>100</v>
      </c>
      <c r="M157" s="200">
        <f t="shared" si="120"/>
        <v>3.6</v>
      </c>
      <c r="N157" s="200">
        <f t="shared" si="120"/>
        <v>0.2</v>
      </c>
      <c r="O157" s="200">
        <f t="shared" si="120"/>
        <v>-0.06</v>
      </c>
      <c r="P157" s="200">
        <f t="shared" si="120"/>
        <v>1.83</v>
      </c>
      <c r="Q157" s="200">
        <f t="shared" si="120"/>
        <v>0.59</v>
      </c>
    </row>
    <row r="158" spans="1:17" ht="14" x14ac:dyDescent="0.25">
      <c r="A158" s="1056"/>
      <c r="B158" s="197">
        <v>2</v>
      </c>
      <c r="C158" s="197">
        <f t="shared" ref="C158:H158" si="121">I8</f>
        <v>200</v>
      </c>
      <c r="D158" s="197">
        <f t="shared" si="121"/>
        <v>0.09</v>
      </c>
      <c r="E158" s="197">
        <f t="shared" si="121"/>
        <v>0.06</v>
      </c>
      <c r="F158" s="197">
        <f t="shared" si="121"/>
        <v>-0.18</v>
      </c>
      <c r="G158" s="197">
        <f t="shared" si="121"/>
        <v>0.13500000000000001</v>
      </c>
      <c r="H158" s="197">
        <f t="shared" si="121"/>
        <v>2.4</v>
      </c>
      <c r="J158" s="1056"/>
      <c r="K158" s="197">
        <v>2</v>
      </c>
      <c r="L158" s="200">
        <f t="shared" ref="L158:Q158" si="122">I16</f>
        <v>100</v>
      </c>
      <c r="M158" s="200">
        <f t="shared" si="122"/>
        <v>-0.9</v>
      </c>
      <c r="N158" s="200">
        <f t="shared" si="122"/>
        <v>-7.0000000000000007E-2</v>
      </c>
      <c r="O158" s="200">
        <f t="shared" si="122"/>
        <v>2.2000000000000002</v>
      </c>
      <c r="P158" s="200">
        <f t="shared" si="122"/>
        <v>1.55</v>
      </c>
      <c r="Q158" s="200">
        <f t="shared" si="122"/>
        <v>0.59</v>
      </c>
    </row>
    <row r="159" spans="1:17" x14ac:dyDescent="0.25">
      <c r="A159" s="1056"/>
      <c r="B159" s="201">
        <v>3</v>
      </c>
      <c r="C159" s="201">
        <f t="shared" ref="C159:H159" si="123">P8</f>
        <v>200</v>
      </c>
      <c r="D159" s="201">
        <f t="shared" si="123"/>
        <v>-2.0499999999999998</v>
      </c>
      <c r="E159" s="201">
        <f t="shared" si="123"/>
        <v>-2.14</v>
      </c>
      <c r="F159" s="201">
        <f t="shared" si="123"/>
        <v>-0.26</v>
      </c>
      <c r="G159" s="201">
        <f t="shared" si="123"/>
        <v>0.94000000000000006</v>
      </c>
      <c r="H159" s="201">
        <f t="shared" si="123"/>
        <v>2.4</v>
      </c>
      <c r="J159" s="1056"/>
      <c r="K159" s="201">
        <v>3</v>
      </c>
      <c r="L159" s="200">
        <f t="shared" ref="L159:Q159" si="124">P16</f>
        <v>100</v>
      </c>
      <c r="M159" s="200">
        <f t="shared" si="124"/>
        <v>6</v>
      </c>
      <c r="N159" s="200">
        <f t="shared" si="124"/>
        <v>-0.22</v>
      </c>
      <c r="O159" s="200">
        <f t="shared" si="124"/>
        <v>2</v>
      </c>
      <c r="P159" s="200">
        <f t="shared" si="124"/>
        <v>3.11</v>
      </c>
      <c r="Q159" s="200">
        <f t="shared" si="124"/>
        <v>0.59</v>
      </c>
    </row>
    <row r="160" spans="1:17" x14ac:dyDescent="0.25">
      <c r="A160" s="1056"/>
      <c r="B160" s="201">
        <v>4</v>
      </c>
      <c r="C160" s="201">
        <f t="shared" ref="C160:H160" si="125">B39</f>
        <v>200</v>
      </c>
      <c r="D160" s="201">
        <f t="shared" si="125"/>
        <v>0.11</v>
      </c>
      <c r="E160" s="201">
        <f t="shared" si="125"/>
        <v>-0.67</v>
      </c>
      <c r="F160" s="201">
        <f t="shared" si="125"/>
        <v>0.05</v>
      </c>
      <c r="G160" s="201">
        <f t="shared" si="125"/>
        <v>0.39</v>
      </c>
      <c r="H160" s="201">
        <f t="shared" si="125"/>
        <v>2.4</v>
      </c>
      <c r="J160" s="1056"/>
      <c r="K160" s="201">
        <v>4</v>
      </c>
      <c r="L160" s="200">
        <f t="shared" ref="L160:Q160" si="126">B47</f>
        <v>100</v>
      </c>
      <c r="M160" s="200">
        <f t="shared" si="126"/>
        <v>4.0999999999999996</v>
      </c>
      <c r="N160" s="200">
        <f t="shared" si="126"/>
        <v>-0.4</v>
      </c>
      <c r="O160" s="200">
        <f t="shared" si="126"/>
        <v>-0.35</v>
      </c>
      <c r="P160" s="200">
        <f t="shared" si="126"/>
        <v>2.25</v>
      </c>
      <c r="Q160" s="200">
        <f t="shared" si="126"/>
        <v>0.59</v>
      </c>
    </row>
    <row r="161" spans="1:17" x14ac:dyDescent="0.25">
      <c r="A161" s="1056"/>
      <c r="B161" s="200">
        <v>5</v>
      </c>
      <c r="C161" s="200">
        <f t="shared" ref="C161:H161" si="127">I39</f>
        <v>200</v>
      </c>
      <c r="D161" s="200">
        <f t="shared" si="127"/>
        <v>-0.12</v>
      </c>
      <c r="E161" s="200">
        <f t="shared" si="127"/>
        <v>0.18</v>
      </c>
      <c r="F161" s="200">
        <f t="shared" si="127"/>
        <v>-0.03</v>
      </c>
      <c r="G161" s="200">
        <f t="shared" si="127"/>
        <v>0.15</v>
      </c>
      <c r="H161" s="200">
        <f t="shared" si="127"/>
        <v>2.4</v>
      </c>
      <c r="J161" s="1056"/>
      <c r="K161" s="200">
        <v>5</v>
      </c>
      <c r="L161" s="200">
        <f t="shared" ref="L161:Q161" si="128">I47</f>
        <v>100</v>
      </c>
      <c r="M161" s="200">
        <f t="shared" si="128"/>
        <v>5</v>
      </c>
      <c r="N161" s="200">
        <f t="shared" si="128"/>
        <v>-0.1</v>
      </c>
      <c r="O161" s="200">
        <f t="shared" si="128"/>
        <v>-0.42</v>
      </c>
      <c r="P161" s="200">
        <f t="shared" si="128"/>
        <v>2.71</v>
      </c>
      <c r="Q161" s="200">
        <f t="shared" si="128"/>
        <v>0.59</v>
      </c>
    </row>
    <row r="162" spans="1:17" x14ac:dyDescent="0.25">
      <c r="A162" s="1056"/>
      <c r="B162" s="200">
        <v>6</v>
      </c>
      <c r="C162" s="200">
        <f t="shared" ref="C162:H162" si="129">P39</f>
        <v>200</v>
      </c>
      <c r="D162" s="200">
        <f t="shared" si="129"/>
        <v>0.1</v>
      </c>
      <c r="E162" s="200">
        <f t="shared" si="129"/>
        <v>-0.1</v>
      </c>
      <c r="F162" s="200">
        <f t="shared" si="129"/>
        <v>0.05</v>
      </c>
      <c r="G162" s="200">
        <f t="shared" si="129"/>
        <v>0.1</v>
      </c>
      <c r="H162" s="200">
        <f t="shared" si="129"/>
        <v>2.4</v>
      </c>
      <c r="J162" s="1056"/>
      <c r="K162" s="200">
        <v>6</v>
      </c>
      <c r="L162" s="200">
        <f t="shared" ref="L162:Q162" si="130">P47</f>
        <v>100</v>
      </c>
      <c r="M162" s="200">
        <f t="shared" si="130"/>
        <v>18.399999999999999</v>
      </c>
      <c r="N162" s="200">
        <f t="shared" si="130"/>
        <v>0.22</v>
      </c>
      <c r="O162" s="200">
        <f t="shared" si="130"/>
        <v>-0.2</v>
      </c>
      <c r="P162" s="200">
        <f t="shared" si="130"/>
        <v>9.2999999999999989</v>
      </c>
      <c r="Q162" s="200">
        <f t="shared" si="130"/>
        <v>0.59</v>
      </c>
    </row>
    <row r="163" spans="1:17" x14ac:dyDescent="0.25">
      <c r="A163" s="1056"/>
      <c r="B163" s="200">
        <v>7</v>
      </c>
      <c r="C163" s="200">
        <f t="shared" ref="C163:H163" si="131">B70</f>
        <v>200.35</v>
      </c>
      <c r="D163" s="200">
        <f t="shared" si="131"/>
        <v>0.52</v>
      </c>
      <c r="E163" s="200">
        <f t="shared" si="131"/>
        <v>0.34</v>
      </c>
      <c r="F163" s="200">
        <f t="shared" si="131"/>
        <v>0.4</v>
      </c>
      <c r="G163" s="200">
        <f t="shared" si="131"/>
        <v>0.09</v>
      </c>
      <c r="H163" s="200">
        <f t="shared" si="131"/>
        <v>2.4041999999999999</v>
      </c>
      <c r="J163" s="1056"/>
      <c r="K163" s="200">
        <v>7</v>
      </c>
      <c r="L163" s="200">
        <f t="shared" ref="L163:Q163" si="132">B78</f>
        <v>100</v>
      </c>
      <c r="M163" s="200">
        <f t="shared" si="132"/>
        <v>1.7</v>
      </c>
      <c r="N163" s="200">
        <f t="shared" si="132"/>
        <v>1.7</v>
      </c>
      <c r="O163" s="200">
        <f t="shared" si="132"/>
        <v>2.2000000000000002</v>
      </c>
      <c r="P163" s="200">
        <f t="shared" si="132"/>
        <v>0.25000000000000011</v>
      </c>
      <c r="Q163" s="200">
        <f t="shared" si="132"/>
        <v>0.59</v>
      </c>
    </row>
    <row r="164" spans="1:17" x14ac:dyDescent="0.25">
      <c r="A164" s="1056"/>
      <c r="B164" s="200">
        <v>8</v>
      </c>
      <c r="C164" s="200">
        <f t="shared" ref="C164:H164" si="133">I70</f>
        <v>200</v>
      </c>
      <c r="D164" s="200">
        <f t="shared" si="133"/>
        <v>-0.23</v>
      </c>
      <c r="E164" s="200">
        <f t="shared" si="133"/>
        <v>-0.33</v>
      </c>
      <c r="F164" s="200" t="str">
        <f t="shared" si="133"/>
        <v>-</v>
      </c>
      <c r="G164" s="200">
        <f t="shared" si="133"/>
        <v>0.05</v>
      </c>
      <c r="H164" s="200">
        <f t="shared" si="133"/>
        <v>2.4</v>
      </c>
      <c r="J164" s="1056"/>
      <c r="K164" s="200">
        <v>8</v>
      </c>
      <c r="L164" s="200">
        <f t="shared" ref="L164:Q164" si="134">I78</f>
        <v>50</v>
      </c>
      <c r="M164" s="200">
        <f t="shared" si="134"/>
        <v>5</v>
      </c>
      <c r="N164" s="200">
        <f t="shared" si="134"/>
        <v>2.1</v>
      </c>
      <c r="O164" s="200" t="str">
        <f t="shared" si="134"/>
        <v>-</v>
      </c>
      <c r="P164" s="200">
        <f t="shared" si="134"/>
        <v>1.45</v>
      </c>
      <c r="Q164" s="200">
        <f t="shared" si="134"/>
        <v>0.29499999999999998</v>
      </c>
    </row>
    <row r="165" spans="1:17" x14ac:dyDescent="0.25">
      <c r="A165" s="1056"/>
      <c r="B165" s="200">
        <v>9</v>
      </c>
      <c r="C165" s="200">
        <f t="shared" ref="C165:H165" si="135">P70</f>
        <v>199.67</v>
      </c>
      <c r="D165" s="200">
        <f t="shared" si="135"/>
        <v>-0.25</v>
      </c>
      <c r="E165" s="200">
        <f t="shared" si="135"/>
        <v>-0.33</v>
      </c>
      <c r="F165" s="200" t="str">
        <f t="shared" si="135"/>
        <v>-</v>
      </c>
      <c r="G165" s="200">
        <f t="shared" si="135"/>
        <v>4.0000000000000008E-2</v>
      </c>
      <c r="H165" s="200">
        <f t="shared" si="135"/>
        <v>2.3960399999999997</v>
      </c>
      <c r="J165" s="1056"/>
      <c r="K165" s="200">
        <v>9</v>
      </c>
      <c r="L165" s="200">
        <f t="shared" ref="L165:Q165" si="136">P78</f>
        <v>51.7</v>
      </c>
      <c r="M165" s="200">
        <f t="shared" si="136"/>
        <v>9.1999999999999993</v>
      </c>
      <c r="N165" s="200">
        <f t="shared" si="136"/>
        <v>1.7</v>
      </c>
      <c r="O165" s="200" t="str">
        <f t="shared" si="136"/>
        <v>-</v>
      </c>
      <c r="P165" s="200">
        <f t="shared" si="136"/>
        <v>3.7499999999999996</v>
      </c>
      <c r="Q165" s="200">
        <f t="shared" si="136"/>
        <v>0.30503000000000002</v>
      </c>
    </row>
    <row r="166" spans="1:17" x14ac:dyDescent="0.25">
      <c r="A166" s="1056"/>
      <c r="B166" s="200">
        <v>10</v>
      </c>
      <c r="C166" s="200">
        <f>B101</f>
        <v>200</v>
      </c>
      <c r="D166" s="200">
        <f t="shared" ref="D166:F166" si="137">C101</f>
        <v>-0.67</v>
      </c>
      <c r="E166" s="200" t="str">
        <f t="shared" si="137"/>
        <v>-</v>
      </c>
      <c r="F166" s="200" t="str">
        <f t="shared" si="137"/>
        <v>-</v>
      </c>
      <c r="G166" s="200">
        <f>F101</f>
        <v>0</v>
      </c>
      <c r="H166" s="200" t="str">
        <f>G101</f>
        <v>-</v>
      </c>
      <c r="J166" s="1056"/>
      <c r="K166" s="200">
        <v>10</v>
      </c>
      <c r="L166" s="200">
        <f t="shared" ref="L166:Q166" si="138">B109</f>
        <v>100</v>
      </c>
      <c r="M166" s="200">
        <f t="shared" si="138"/>
        <v>0.4</v>
      </c>
      <c r="N166" s="200" t="str">
        <f t="shared" si="138"/>
        <v>-</v>
      </c>
      <c r="O166" s="200" t="str">
        <f t="shared" si="138"/>
        <v>-</v>
      </c>
      <c r="P166" s="200">
        <f t="shared" si="138"/>
        <v>0</v>
      </c>
      <c r="Q166" s="200" t="str">
        <f t="shared" si="138"/>
        <v>-</v>
      </c>
    </row>
    <row r="167" spans="1:17" x14ac:dyDescent="0.25">
      <c r="A167" s="1056"/>
      <c r="B167" s="200">
        <v>11</v>
      </c>
      <c r="C167" s="200">
        <f>I101</f>
        <v>200</v>
      </c>
      <c r="D167" s="200">
        <f t="shared" ref="D167:F167" si="139">J101</f>
        <v>9.9999999999999995E-7</v>
      </c>
      <c r="E167" s="200" t="str">
        <f t="shared" si="139"/>
        <v>-</v>
      </c>
      <c r="F167" s="200" t="str">
        <f t="shared" si="139"/>
        <v>-</v>
      </c>
      <c r="G167" s="200">
        <f>M101</f>
        <v>0</v>
      </c>
      <c r="H167" s="200" t="str">
        <f>N101</f>
        <v>-</v>
      </c>
      <c r="J167" s="1056"/>
      <c r="K167" s="200">
        <v>11</v>
      </c>
      <c r="L167" s="200">
        <f t="shared" ref="L167:Q167" si="140">I109</f>
        <v>100</v>
      </c>
      <c r="M167" s="200">
        <f t="shared" si="140"/>
        <v>9.9999999999999995E-7</v>
      </c>
      <c r="N167" s="200" t="str">
        <f t="shared" si="140"/>
        <v>-</v>
      </c>
      <c r="O167" s="200" t="str">
        <f t="shared" si="140"/>
        <v>-</v>
      </c>
      <c r="P167" s="200">
        <f t="shared" si="140"/>
        <v>0</v>
      </c>
      <c r="Q167" s="200" t="str">
        <f t="shared" si="140"/>
        <v>-</v>
      </c>
    </row>
    <row r="168" spans="1:17" x14ac:dyDescent="0.25">
      <c r="A168" s="1056"/>
      <c r="B168" s="200">
        <v>12</v>
      </c>
      <c r="C168" s="200">
        <f>P101</f>
        <v>200</v>
      </c>
      <c r="D168" s="200">
        <f t="shared" ref="D168:F168" si="141">Q101</f>
        <v>9.9999999999999995E-7</v>
      </c>
      <c r="E168" s="200" t="str">
        <f t="shared" si="141"/>
        <v>-</v>
      </c>
      <c r="F168" s="200" t="str">
        <f t="shared" si="141"/>
        <v>-</v>
      </c>
      <c r="G168" s="200">
        <f>T101</f>
        <v>0</v>
      </c>
      <c r="H168" s="200" t="str">
        <f>U101</f>
        <v>-</v>
      </c>
      <c r="J168" s="1056"/>
      <c r="K168" s="200">
        <v>12</v>
      </c>
      <c r="L168" s="200">
        <f t="shared" ref="L168:Q168" si="142">P109</f>
        <v>100</v>
      </c>
      <c r="M168" s="200">
        <f t="shared" si="142"/>
        <v>9.9999999999999995E-7</v>
      </c>
      <c r="N168" s="200" t="str">
        <f t="shared" si="142"/>
        <v>-</v>
      </c>
      <c r="O168" s="200" t="str">
        <f t="shared" si="142"/>
        <v>-</v>
      </c>
      <c r="P168" s="200">
        <f t="shared" si="142"/>
        <v>0</v>
      </c>
      <c r="Q168" s="200" t="str">
        <f t="shared" si="142"/>
        <v>-</v>
      </c>
    </row>
    <row r="169" spans="1:17" s="65" customFormat="1" x14ac:dyDescent="0.25">
      <c r="A169" s="203"/>
      <c r="B169" s="203"/>
      <c r="C169" s="203"/>
      <c r="D169" s="203"/>
      <c r="E169" s="203"/>
      <c r="F169" s="475"/>
      <c r="G169" s="203"/>
      <c r="H169" s="203"/>
      <c r="J169" s="203"/>
      <c r="K169" s="203"/>
      <c r="L169" s="203"/>
      <c r="M169" s="203"/>
      <c r="N169" s="203"/>
      <c r="O169" s="475"/>
      <c r="P169" s="203"/>
      <c r="Q169" s="203"/>
    </row>
    <row r="170" spans="1:17" ht="14" x14ac:dyDescent="0.25">
      <c r="A170" s="1056" t="s">
        <v>52</v>
      </c>
      <c r="B170" s="197">
        <v>1</v>
      </c>
      <c r="C170" s="197">
        <f t="shared" ref="C170:H170" si="143">B9</f>
        <v>220</v>
      </c>
      <c r="D170" s="197">
        <f t="shared" si="143"/>
        <v>-0.27</v>
      </c>
      <c r="E170" s="197">
        <f t="shared" si="143"/>
        <v>-0.28000000000000003</v>
      </c>
      <c r="F170" s="197">
        <f t="shared" si="143"/>
        <v>-0.18</v>
      </c>
      <c r="G170" s="197">
        <f t="shared" si="143"/>
        <v>5.0000000000000017E-2</v>
      </c>
      <c r="H170" s="197">
        <f t="shared" si="143"/>
        <v>2.64</v>
      </c>
      <c r="J170" s="1056" t="s">
        <v>52</v>
      </c>
      <c r="K170" s="197">
        <v>1</v>
      </c>
      <c r="L170" s="200">
        <f t="shared" ref="L170:Q170" si="144">B17</f>
        <v>200</v>
      </c>
      <c r="M170" s="200">
        <f t="shared" si="144"/>
        <v>2.2000000000000002</v>
      </c>
      <c r="N170" s="200">
        <f t="shared" si="144"/>
        <v>0.4</v>
      </c>
      <c r="O170" s="200">
        <f t="shared" si="144"/>
        <v>9.9999999999999995E-7</v>
      </c>
      <c r="P170" s="200">
        <f t="shared" si="144"/>
        <v>1.0999995</v>
      </c>
      <c r="Q170" s="200">
        <f t="shared" si="144"/>
        <v>1.18</v>
      </c>
    </row>
    <row r="171" spans="1:17" ht="14" x14ac:dyDescent="0.25">
      <c r="A171" s="1056"/>
      <c r="B171" s="197">
        <v>2</v>
      </c>
      <c r="C171" s="201">
        <f t="shared" ref="C171:H171" si="145">I9</f>
        <v>220</v>
      </c>
      <c r="D171" s="201">
        <f t="shared" si="145"/>
        <v>0.53</v>
      </c>
      <c r="E171" s="201">
        <f t="shared" si="145"/>
        <v>0.05</v>
      </c>
      <c r="F171" s="201">
        <f t="shared" si="145"/>
        <v>-0.03</v>
      </c>
      <c r="G171" s="201">
        <f t="shared" si="145"/>
        <v>0.28000000000000003</v>
      </c>
      <c r="H171" s="201">
        <f t="shared" si="145"/>
        <v>2.64</v>
      </c>
      <c r="J171" s="1056"/>
      <c r="K171" s="197">
        <v>2</v>
      </c>
      <c r="L171" s="200">
        <f t="shared" ref="L171:Q171" si="146">I17</f>
        <v>200</v>
      </c>
      <c r="M171" s="200">
        <f t="shared" si="146"/>
        <v>-6.4</v>
      </c>
      <c r="N171" s="200">
        <f t="shared" si="146"/>
        <v>-0.1</v>
      </c>
      <c r="O171" s="200">
        <f t="shared" si="146"/>
        <v>3.3</v>
      </c>
      <c r="P171" s="200">
        <f t="shared" si="146"/>
        <v>4.8499999999999996</v>
      </c>
      <c r="Q171" s="200">
        <f t="shared" si="146"/>
        <v>1.18</v>
      </c>
    </row>
    <row r="172" spans="1:17" x14ac:dyDescent="0.25">
      <c r="A172" s="1056"/>
      <c r="B172" s="201">
        <v>3</v>
      </c>
      <c r="C172" s="201">
        <f t="shared" ref="C172:H172" si="147">P9</f>
        <v>220</v>
      </c>
      <c r="D172" s="201">
        <f t="shared" si="147"/>
        <v>-2.29</v>
      </c>
      <c r="E172" s="201">
        <f t="shared" si="147"/>
        <v>-3.44</v>
      </c>
      <c r="F172" s="201">
        <f t="shared" si="147"/>
        <v>-0.28999999999999998</v>
      </c>
      <c r="G172" s="201">
        <f t="shared" si="147"/>
        <v>1.575</v>
      </c>
      <c r="H172" s="201">
        <f t="shared" si="147"/>
        <v>2.64</v>
      </c>
      <c r="J172" s="1056"/>
      <c r="K172" s="201">
        <v>3</v>
      </c>
      <c r="L172" s="200">
        <f t="shared" ref="L172:Q172" si="148">P17</f>
        <v>200</v>
      </c>
      <c r="M172" s="200">
        <f t="shared" si="148"/>
        <v>-3.6</v>
      </c>
      <c r="N172" s="200">
        <f t="shared" si="148"/>
        <v>-0.1</v>
      </c>
      <c r="O172" s="200">
        <f t="shared" si="148"/>
        <v>3.6</v>
      </c>
      <c r="P172" s="200">
        <f t="shared" si="148"/>
        <v>3.6</v>
      </c>
      <c r="Q172" s="200">
        <f t="shared" si="148"/>
        <v>1.18</v>
      </c>
    </row>
    <row r="173" spans="1:17" x14ac:dyDescent="0.25">
      <c r="A173" s="1056"/>
      <c r="B173" s="201">
        <v>4</v>
      </c>
      <c r="C173" s="201">
        <f t="shared" ref="C173:H173" si="149">B40</f>
        <v>220</v>
      </c>
      <c r="D173" s="201">
        <f t="shared" si="149"/>
        <v>0.13</v>
      </c>
      <c r="E173" s="201">
        <f t="shared" si="149"/>
        <v>9.9999999999999995E-7</v>
      </c>
      <c r="F173" s="201">
        <f t="shared" si="149"/>
        <v>0.1</v>
      </c>
      <c r="G173" s="201">
        <f t="shared" si="149"/>
        <v>6.4999500000000002E-2</v>
      </c>
      <c r="H173" s="201">
        <f t="shared" si="149"/>
        <v>2.64</v>
      </c>
      <c r="J173" s="1056"/>
      <c r="K173" s="201">
        <v>4</v>
      </c>
      <c r="L173" s="200">
        <f t="shared" ref="L173:Q173" si="150">B48</f>
        <v>200</v>
      </c>
      <c r="M173" s="200">
        <f t="shared" si="150"/>
        <v>5</v>
      </c>
      <c r="N173" s="200">
        <f t="shared" si="150"/>
        <v>0.3</v>
      </c>
      <c r="O173" s="200">
        <f t="shared" si="150"/>
        <v>0.8</v>
      </c>
      <c r="P173" s="200">
        <f t="shared" si="150"/>
        <v>2.35</v>
      </c>
      <c r="Q173" s="200">
        <f t="shared" si="150"/>
        <v>1.18</v>
      </c>
    </row>
    <row r="174" spans="1:17" x14ac:dyDescent="0.25">
      <c r="A174" s="1056"/>
      <c r="B174" s="200">
        <v>5</v>
      </c>
      <c r="C174" s="200">
        <f t="shared" ref="C174:H174" si="151">I40</f>
        <v>220</v>
      </c>
      <c r="D174" s="200">
        <f t="shared" si="151"/>
        <v>-0.17</v>
      </c>
      <c r="E174" s="200">
        <f t="shared" si="151"/>
        <v>0.56000000000000005</v>
      </c>
      <c r="F174" s="200">
        <f t="shared" si="151"/>
        <v>0.38</v>
      </c>
      <c r="G174" s="200">
        <f t="shared" si="151"/>
        <v>0.36500000000000005</v>
      </c>
      <c r="H174" s="200">
        <f t="shared" si="151"/>
        <v>2.64</v>
      </c>
      <c r="J174" s="1056"/>
      <c r="K174" s="200">
        <v>5</v>
      </c>
      <c r="L174" s="200">
        <f t="shared" ref="L174:Q174" si="152">I48</f>
        <v>200</v>
      </c>
      <c r="M174" s="200">
        <f t="shared" si="152"/>
        <v>7.7</v>
      </c>
      <c r="N174" s="200">
        <f t="shared" si="152"/>
        <v>1.3</v>
      </c>
      <c r="O174" s="200">
        <f t="shared" si="152"/>
        <v>1.3</v>
      </c>
      <c r="P174" s="200">
        <f t="shared" si="152"/>
        <v>3.2</v>
      </c>
      <c r="Q174" s="200">
        <f t="shared" si="152"/>
        <v>1.18</v>
      </c>
    </row>
    <row r="175" spans="1:17" x14ac:dyDescent="0.25">
      <c r="A175" s="1056"/>
      <c r="B175" s="200">
        <v>6</v>
      </c>
      <c r="C175" s="200">
        <f t="shared" ref="C175:H175" si="153">P40</f>
        <v>220</v>
      </c>
      <c r="D175" s="200">
        <f t="shared" si="153"/>
        <v>7.0000000000000007E-2</v>
      </c>
      <c r="E175" s="200">
        <f t="shared" si="153"/>
        <v>-0.13</v>
      </c>
      <c r="F175" s="200">
        <f t="shared" si="153"/>
        <v>0.05</v>
      </c>
      <c r="G175" s="200">
        <f t="shared" si="153"/>
        <v>0.1</v>
      </c>
      <c r="H175" s="200">
        <f t="shared" si="153"/>
        <v>2.64</v>
      </c>
      <c r="J175" s="1056"/>
      <c r="K175" s="200">
        <v>6</v>
      </c>
      <c r="L175" s="200">
        <f t="shared" ref="L175:Q175" si="154">P48</f>
        <v>200</v>
      </c>
      <c r="M175" s="200">
        <f t="shared" si="154"/>
        <v>14.4</v>
      </c>
      <c r="N175" s="200">
        <f t="shared" si="154"/>
        <v>0.8</v>
      </c>
      <c r="O175" s="200">
        <f t="shared" si="154"/>
        <v>0.8</v>
      </c>
      <c r="P175" s="200">
        <f t="shared" si="154"/>
        <v>6.8</v>
      </c>
      <c r="Q175" s="200">
        <f t="shared" si="154"/>
        <v>1.18</v>
      </c>
    </row>
    <row r="176" spans="1:17" x14ac:dyDescent="0.25">
      <c r="A176" s="1056"/>
      <c r="B176" s="200">
        <v>7</v>
      </c>
      <c r="C176" s="200">
        <f t="shared" ref="C176:H176" si="155">B71</f>
        <v>220.37</v>
      </c>
      <c r="D176" s="200">
        <f t="shared" si="155"/>
        <v>0.57999999999999996</v>
      </c>
      <c r="E176" s="200">
        <f t="shared" si="155"/>
        <v>0.37</v>
      </c>
      <c r="F176" s="200">
        <f t="shared" si="155"/>
        <v>0.38</v>
      </c>
      <c r="G176" s="200">
        <f t="shared" si="155"/>
        <v>0.10499999999999998</v>
      </c>
      <c r="H176" s="200">
        <f t="shared" si="155"/>
        <v>2.6444399999999999</v>
      </c>
      <c r="J176" s="1056"/>
      <c r="K176" s="200">
        <v>7</v>
      </c>
      <c r="L176" s="200">
        <f t="shared" ref="L176:Q176" si="156">B79</f>
        <v>200.4</v>
      </c>
      <c r="M176" s="200">
        <f t="shared" si="156"/>
        <v>1.5</v>
      </c>
      <c r="N176" s="200">
        <f t="shared" si="156"/>
        <v>0.4</v>
      </c>
      <c r="O176" s="200">
        <f t="shared" si="156"/>
        <v>2.4</v>
      </c>
      <c r="P176" s="200">
        <f t="shared" si="156"/>
        <v>1</v>
      </c>
      <c r="Q176" s="200">
        <f t="shared" si="156"/>
        <v>1.1823600000000001</v>
      </c>
    </row>
    <row r="177" spans="1:17" x14ac:dyDescent="0.25">
      <c r="A177" s="1056"/>
      <c r="B177" s="200">
        <v>8</v>
      </c>
      <c r="C177" s="200">
        <f t="shared" ref="C177:H177" si="157">I71</f>
        <v>220</v>
      </c>
      <c r="D177" s="200">
        <f t="shared" si="157"/>
        <v>-0.16</v>
      </c>
      <c r="E177" s="200">
        <f t="shared" si="157"/>
        <v>-0.45</v>
      </c>
      <c r="F177" s="200" t="str">
        <f t="shared" si="157"/>
        <v>-</v>
      </c>
      <c r="G177" s="200">
        <f t="shared" si="157"/>
        <v>0.14500000000000002</v>
      </c>
      <c r="H177" s="200">
        <f t="shared" si="157"/>
        <v>2.64</v>
      </c>
      <c r="J177" s="1056"/>
      <c r="K177" s="200">
        <v>8</v>
      </c>
      <c r="L177" s="200">
        <f t="shared" ref="L177:Q177" si="158">I79</f>
        <v>200</v>
      </c>
      <c r="M177" s="200">
        <f t="shared" si="158"/>
        <v>-8.1999999999999993</v>
      </c>
      <c r="N177" s="200">
        <f t="shared" si="158"/>
        <v>3.7</v>
      </c>
      <c r="O177" s="200" t="str">
        <f t="shared" si="158"/>
        <v>-</v>
      </c>
      <c r="P177" s="200">
        <f t="shared" si="158"/>
        <v>5.9499999999999993</v>
      </c>
      <c r="Q177" s="200">
        <f t="shared" si="158"/>
        <v>1.18</v>
      </c>
    </row>
    <row r="178" spans="1:17" x14ac:dyDescent="0.25">
      <c r="A178" s="1056"/>
      <c r="B178" s="200">
        <v>9</v>
      </c>
      <c r="C178" s="200">
        <f t="shared" ref="C178:H178" si="159">P71</f>
        <v>219.61</v>
      </c>
      <c r="D178" s="200">
        <f t="shared" si="159"/>
        <v>-0.28999999999999998</v>
      </c>
      <c r="E178" s="200">
        <f t="shared" si="159"/>
        <v>-0.39</v>
      </c>
      <c r="F178" s="200" t="str">
        <f t="shared" si="159"/>
        <v>-</v>
      </c>
      <c r="G178" s="200">
        <f t="shared" si="159"/>
        <v>5.0000000000000017E-2</v>
      </c>
      <c r="H178" s="200">
        <f t="shared" si="159"/>
        <v>2.6353200000000001</v>
      </c>
      <c r="J178" s="1056"/>
      <c r="K178" s="200">
        <v>9</v>
      </c>
      <c r="L178" s="200">
        <f t="shared" ref="L178:Q178" si="160">P79</f>
        <v>103.4</v>
      </c>
      <c r="M178" s="200">
        <f t="shared" si="160"/>
        <v>7.7</v>
      </c>
      <c r="N178" s="200">
        <f t="shared" si="160"/>
        <v>3.4</v>
      </c>
      <c r="O178" s="200" t="str">
        <f t="shared" si="160"/>
        <v>-</v>
      </c>
      <c r="P178" s="200">
        <f t="shared" si="160"/>
        <v>2.1500000000000004</v>
      </c>
      <c r="Q178" s="200">
        <f t="shared" si="160"/>
        <v>0.61006000000000005</v>
      </c>
    </row>
    <row r="179" spans="1:17" x14ac:dyDescent="0.25">
      <c r="A179" s="1056"/>
      <c r="B179" s="200">
        <v>10</v>
      </c>
      <c r="C179" s="200">
        <f>B102</f>
        <v>220</v>
      </c>
      <c r="D179" s="200">
        <f t="shared" ref="D179:F179" si="161">C102</f>
        <v>9.9999999999999995E-7</v>
      </c>
      <c r="E179" s="200" t="str">
        <f t="shared" si="161"/>
        <v>-</v>
      </c>
      <c r="F179" s="200" t="str">
        <f t="shared" si="161"/>
        <v>-</v>
      </c>
      <c r="G179" s="200">
        <f>F102</f>
        <v>0</v>
      </c>
      <c r="H179" s="200" t="str">
        <f>G102</f>
        <v>-</v>
      </c>
      <c r="J179" s="1056"/>
      <c r="K179" s="200">
        <v>10</v>
      </c>
      <c r="L179" s="200">
        <f t="shared" ref="L179:Q179" si="162">B110</f>
        <v>200</v>
      </c>
      <c r="M179" s="200">
        <f t="shared" si="162"/>
        <v>0.4</v>
      </c>
      <c r="N179" s="200" t="str">
        <f t="shared" si="162"/>
        <v>-</v>
      </c>
      <c r="O179" s="200" t="str">
        <f t="shared" si="162"/>
        <v>-</v>
      </c>
      <c r="P179" s="200">
        <f t="shared" si="162"/>
        <v>0</v>
      </c>
      <c r="Q179" s="200" t="str">
        <f t="shared" si="162"/>
        <v>-</v>
      </c>
    </row>
    <row r="180" spans="1:17" x14ac:dyDescent="0.25">
      <c r="A180" s="1056"/>
      <c r="B180" s="200">
        <v>11</v>
      </c>
      <c r="C180" s="200">
        <f>I102</f>
        <v>220</v>
      </c>
      <c r="D180" s="200">
        <f t="shared" ref="D180:F180" si="163">J102</f>
        <v>9.9999999999999995E-7</v>
      </c>
      <c r="E180" s="200" t="str">
        <f t="shared" si="163"/>
        <v>-</v>
      </c>
      <c r="F180" s="200" t="str">
        <f t="shared" si="163"/>
        <v>-</v>
      </c>
      <c r="G180" s="200">
        <f>M102</f>
        <v>0</v>
      </c>
      <c r="H180" s="200" t="str">
        <f>N102</f>
        <v>-</v>
      </c>
      <c r="J180" s="1056"/>
      <c r="K180" s="200">
        <v>11</v>
      </c>
      <c r="L180" s="200">
        <f t="shared" ref="L180:Q180" si="164">I110</f>
        <v>200</v>
      </c>
      <c r="M180" s="200">
        <f t="shared" si="164"/>
        <v>9.9999999999999995E-7</v>
      </c>
      <c r="N180" s="200" t="str">
        <f t="shared" si="164"/>
        <v>-</v>
      </c>
      <c r="O180" s="200" t="str">
        <f t="shared" si="164"/>
        <v>-</v>
      </c>
      <c r="P180" s="200">
        <f t="shared" si="164"/>
        <v>0</v>
      </c>
      <c r="Q180" s="200" t="str">
        <f t="shared" si="164"/>
        <v>-</v>
      </c>
    </row>
    <row r="181" spans="1:17" x14ac:dyDescent="0.25">
      <c r="A181" s="1056"/>
      <c r="B181" s="200">
        <v>12</v>
      </c>
      <c r="C181" s="200">
        <f>P102</f>
        <v>220</v>
      </c>
      <c r="D181" s="200">
        <f t="shared" ref="D181:F181" si="165">Q102</f>
        <v>9.9999999999999995E-7</v>
      </c>
      <c r="E181" s="200" t="str">
        <f t="shared" si="165"/>
        <v>-</v>
      </c>
      <c r="F181" s="200" t="str">
        <f t="shared" si="165"/>
        <v>-</v>
      </c>
      <c r="G181" s="200">
        <f>T102</f>
        <v>0</v>
      </c>
      <c r="H181" s="200" t="str">
        <f>U102</f>
        <v>-</v>
      </c>
      <c r="J181" s="1056"/>
      <c r="K181" s="200">
        <v>12</v>
      </c>
      <c r="L181" s="200">
        <f t="shared" ref="L181:Q181" si="166">P110</f>
        <v>200</v>
      </c>
      <c r="M181" s="200">
        <f t="shared" si="166"/>
        <v>9.9999999999999995E-7</v>
      </c>
      <c r="N181" s="200" t="str">
        <f t="shared" si="166"/>
        <v>-</v>
      </c>
      <c r="O181" s="200" t="str">
        <f t="shared" si="166"/>
        <v>-</v>
      </c>
      <c r="P181" s="200">
        <f t="shared" si="166"/>
        <v>0</v>
      </c>
      <c r="Q181" s="200" t="str">
        <f t="shared" si="166"/>
        <v>-</v>
      </c>
    </row>
    <row r="182" spans="1:17" s="65" customFormat="1" x14ac:dyDescent="0.25">
      <c r="A182" s="203"/>
      <c r="B182" s="203"/>
      <c r="C182" s="203"/>
      <c r="D182" s="203"/>
      <c r="E182" s="203"/>
      <c r="F182" s="475"/>
      <c r="G182" s="203"/>
      <c r="H182" s="203"/>
      <c r="J182" s="203"/>
      <c r="K182" s="203"/>
      <c r="L182" s="203"/>
      <c r="M182" s="203"/>
      <c r="N182" s="203"/>
      <c r="O182" s="475"/>
      <c r="P182" s="203"/>
      <c r="Q182" s="203"/>
    </row>
    <row r="183" spans="1:17" ht="14" x14ac:dyDescent="0.25">
      <c r="A183" s="1056" t="s">
        <v>53</v>
      </c>
      <c r="B183" s="197">
        <v>1</v>
      </c>
      <c r="C183" s="197">
        <f t="shared" ref="C183:H183" si="167">B10</f>
        <v>230</v>
      </c>
      <c r="D183" s="197">
        <f t="shared" si="167"/>
        <v>0.64</v>
      </c>
      <c r="E183" s="197">
        <f t="shared" si="167"/>
        <v>-0.2</v>
      </c>
      <c r="F183" s="197">
        <f t="shared" si="167"/>
        <v>-0.26</v>
      </c>
      <c r="G183" s="197">
        <f t="shared" si="167"/>
        <v>0.45</v>
      </c>
      <c r="H183" s="197">
        <f t="shared" si="167"/>
        <v>2.7600000000000002</v>
      </c>
      <c r="J183" s="1056" t="s">
        <v>53</v>
      </c>
      <c r="K183" s="197">
        <v>1</v>
      </c>
      <c r="L183" s="200">
        <f t="shared" ref="L183:Q183" si="168">B18</f>
        <v>500</v>
      </c>
      <c r="M183" s="200">
        <f t="shared" si="168"/>
        <v>-2</v>
      </c>
      <c r="N183" s="200">
        <f t="shared" si="168"/>
        <v>3.8</v>
      </c>
      <c r="O183" s="200">
        <f t="shared" si="168"/>
        <v>-0.9</v>
      </c>
      <c r="P183" s="200">
        <f t="shared" si="168"/>
        <v>2.9</v>
      </c>
      <c r="Q183" s="200">
        <f t="shared" si="168"/>
        <v>2.9499999999999997</v>
      </c>
    </row>
    <row r="184" spans="1:17" ht="14" x14ac:dyDescent="0.25">
      <c r="A184" s="1056"/>
      <c r="B184" s="197">
        <v>2</v>
      </c>
      <c r="C184" s="201">
        <f t="shared" ref="C184:H184" si="169">I10</f>
        <v>230</v>
      </c>
      <c r="D184" s="201">
        <f t="shared" si="169"/>
        <v>1.08</v>
      </c>
      <c r="E184" s="201">
        <f t="shared" si="169"/>
        <v>9.9999999999999995E-7</v>
      </c>
      <c r="F184" s="201">
        <f t="shared" si="169"/>
        <v>0.05</v>
      </c>
      <c r="G184" s="201">
        <f t="shared" si="169"/>
        <v>0.53999950000000008</v>
      </c>
      <c r="H184" s="201">
        <f t="shared" si="169"/>
        <v>2.7600000000000002</v>
      </c>
      <c r="J184" s="1056"/>
      <c r="K184" s="197">
        <v>2</v>
      </c>
      <c r="L184" s="200">
        <f t="shared" ref="L184:Q184" si="170">I18</f>
        <v>500</v>
      </c>
      <c r="M184" s="200">
        <f t="shared" si="170"/>
        <v>-21.7</v>
      </c>
      <c r="N184" s="200">
        <f t="shared" si="170"/>
        <v>0.8</v>
      </c>
      <c r="O184" s="200">
        <f t="shared" si="170"/>
        <v>2</v>
      </c>
      <c r="P184" s="200">
        <f t="shared" si="170"/>
        <v>11.85</v>
      </c>
      <c r="Q184" s="200">
        <f t="shared" si="170"/>
        <v>2.9499999999999997</v>
      </c>
    </row>
    <row r="185" spans="1:17" x14ac:dyDescent="0.25">
      <c r="A185" s="1056"/>
      <c r="B185" s="201">
        <v>3</v>
      </c>
      <c r="C185" s="201">
        <f t="shared" ref="C185:H185" si="171">P10</f>
        <v>230</v>
      </c>
      <c r="D185" s="201">
        <f t="shared" si="171"/>
        <v>-11.79</v>
      </c>
      <c r="E185" s="201">
        <f t="shared" si="171"/>
        <v>-2.52</v>
      </c>
      <c r="F185" s="201">
        <f t="shared" si="171"/>
        <v>-0.23</v>
      </c>
      <c r="G185" s="201">
        <f t="shared" si="171"/>
        <v>5.7799999999999994</v>
      </c>
      <c r="H185" s="201">
        <f t="shared" si="171"/>
        <v>2.7600000000000002</v>
      </c>
      <c r="J185" s="1056"/>
      <c r="K185" s="201">
        <v>3</v>
      </c>
      <c r="L185" s="200">
        <f t="shared" ref="L185:Q185" si="172">P18</f>
        <v>500</v>
      </c>
      <c r="M185" s="200">
        <f t="shared" si="172"/>
        <v>-18.8</v>
      </c>
      <c r="N185" s="200">
        <f t="shared" si="172"/>
        <v>-1.1000000000000001</v>
      </c>
      <c r="O185" s="200">
        <f t="shared" si="172"/>
        <v>2.9</v>
      </c>
      <c r="P185" s="200">
        <f t="shared" si="172"/>
        <v>10.85</v>
      </c>
      <c r="Q185" s="200">
        <f t="shared" si="172"/>
        <v>2.9499999999999997</v>
      </c>
    </row>
    <row r="186" spans="1:17" x14ac:dyDescent="0.25">
      <c r="A186" s="1056"/>
      <c r="B186" s="201">
        <v>4</v>
      </c>
      <c r="C186" s="201">
        <f t="shared" ref="C186:H186" si="173">B41</f>
        <v>230</v>
      </c>
      <c r="D186" s="201">
        <f t="shared" si="173"/>
        <v>0.11</v>
      </c>
      <c r="E186" s="201">
        <f t="shared" si="173"/>
        <v>-0.11</v>
      </c>
      <c r="F186" s="201">
        <f t="shared" si="173"/>
        <v>1.1100000000000001</v>
      </c>
      <c r="G186" s="201">
        <f t="shared" si="173"/>
        <v>0.6100000000000001</v>
      </c>
      <c r="H186" s="201">
        <f t="shared" si="173"/>
        <v>2.7600000000000002</v>
      </c>
      <c r="J186" s="1056"/>
      <c r="K186" s="201">
        <v>4</v>
      </c>
      <c r="L186" s="200">
        <f t="shared" ref="L186:Q186" si="174">B49</f>
        <v>500</v>
      </c>
      <c r="M186" s="200">
        <f t="shared" si="174"/>
        <v>3.5</v>
      </c>
      <c r="N186" s="200">
        <f t="shared" si="174"/>
        <v>0.2</v>
      </c>
      <c r="O186" s="200">
        <f t="shared" si="174"/>
        <v>1.2</v>
      </c>
      <c r="P186" s="200">
        <f t="shared" si="174"/>
        <v>1.65</v>
      </c>
      <c r="Q186" s="200">
        <f t="shared" si="174"/>
        <v>2.9499999999999997</v>
      </c>
    </row>
    <row r="187" spans="1:17" x14ac:dyDescent="0.25">
      <c r="A187" s="1056"/>
      <c r="B187" s="200">
        <v>5</v>
      </c>
      <c r="C187" s="200">
        <f t="shared" ref="C187:H187" si="175">I41</f>
        <v>230</v>
      </c>
      <c r="D187" s="200">
        <f t="shared" si="175"/>
        <v>-0.14000000000000001</v>
      </c>
      <c r="E187" s="200">
        <f t="shared" si="175"/>
        <v>0.73</v>
      </c>
      <c r="F187" s="200">
        <f t="shared" si="175"/>
        <v>-0.16</v>
      </c>
      <c r="G187" s="200">
        <f t="shared" si="175"/>
        <v>0.44500000000000001</v>
      </c>
      <c r="H187" s="200">
        <f t="shared" si="175"/>
        <v>2.7600000000000002</v>
      </c>
      <c r="J187" s="1056"/>
      <c r="K187" s="200">
        <v>5</v>
      </c>
      <c r="L187" s="200">
        <f t="shared" ref="L187:Q187" si="176">I49</f>
        <v>500</v>
      </c>
      <c r="M187" s="200">
        <f t="shared" si="176"/>
        <v>5.7</v>
      </c>
      <c r="N187" s="200">
        <f t="shared" si="176"/>
        <v>0.7</v>
      </c>
      <c r="O187" s="200">
        <f t="shared" si="176"/>
        <v>0.7</v>
      </c>
      <c r="P187" s="200">
        <f t="shared" si="176"/>
        <v>2.5</v>
      </c>
      <c r="Q187" s="200">
        <f t="shared" si="176"/>
        <v>2.9499999999999997</v>
      </c>
    </row>
    <row r="188" spans="1:17" x14ac:dyDescent="0.25">
      <c r="A188" s="1056"/>
      <c r="B188" s="200">
        <v>6</v>
      </c>
      <c r="C188" s="200">
        <f t="shared" ref="C188:H188" si="177">P41</f>
        <v>230</v>
      </c>
      <c r="D188" s="200">
        <f t="shared" si="177"/>
        <v>0.08</v>
      </c>
      <c r="E188" s="200">
        <f t="shared" si="177"/>
        <v>-0.15</v>
      </c>
      <c r="F188" s="200">
        <f t="shared" si="177"/>
        <v>-0.05</v>
      </c>
      <c r="G188" s="200">
        <f t="shared" si="177"/>
        <v>0.11499999999999999</v>
      </c>
      <c r="H188" s="200">
        <f t="shared" si="177"/>
        <v>2.7600000000000002</v>
      </c>
      <c r="J188" s="1056"/>
      <c r="K188" s="200">
        <v>6</v>
      </c>
      <c r="L188" s="200">
        <f t="shared" ref="L188:Q188" si="178">P49</f>
        <v>500</v>
      </c>
      <c r="M188" s="200">
        <f t="shared" si="178"/>
        <v>6.2</v>
      </c>
      <c r="N188" s="200">
        <f t="shared" si="178"/>
        <v>1.1000000000000001</v>
      </c>
      <c r="O188" s="200">
        <f t="shared" si="178"/>
        <v>0.6</v>
      </c>
      <c r="P188" s="200">
        <f t="shared" si="178"/>
        <v>2.8000000000000003</v>
      </c>
      <c r="Q188" s="200">
        <f t="shared" si="178"/>
        <v>2.9499999999999997</v>
      </c>
    </row>
    <row r="189" spans="1:17" x14ac:dyDescent="0.25">
      <c r="A189" s="1056"/>
      <c r="B189" s="200">
        <v>7</v>
      </c>
      <c r="C189" s="200">
        <f t="shared" ref="C189:H189" si="179">B72</f>
        <v>230.47</v>
      </c>
      <c r="D189" s="200">
        <f t="shared" si="179"/>
        <v>0.47</v>
      </c>
      <c r="E189" s="200">
        <f t="shared" si="179"/>
        <v>0.47</v>
      </c>
      <c r="F189" s="200">
        <f t="shared" si="179"/>
        <v>0.4</v>
      </c>
      <c r="G189" s="200">
        <f t="shared" si="179"/>
        <v>3.4999999999999976E-2</v>
      </c>
      <c r="H189" s="200">
        <f t="shared" si="179"/>
        <v>2.7656399999999999</v>
      </c>
      <c r="J189" s="1056"/>
      <c r="K189" s="200">
        <v>7</v>
      </c>
      <c r="L189" s="200">
        <f t="shared" ref="L189:Q189" si="180">B80</f>
        <v>500</v>
      </c>
      <c r="M189" s="200">
        <f t="shared" si="180"/>
        <v>0.9</v>
      </c>
      <c r="N189" s="200">
        <f t="shared" si="180"/>
        <v>3</v>
      </c>
      <c r="O189" s="200">
        <f t="shared" si="180"/>
        <v>3.3</v>
      </c>
      <c r="P189" s="200">
        <f t="shared" si="180"/>
        <v>1.2</v>
      </c>
      <c r="Q189" s="200">
        <f t="shared" si="180"/>
        <v>2.9499999999999997</v>
      </c>
    </row>
    <row r="190" spans="1:17" x14ac:dyDescent="0.25">
      <c r="A190" s="1056"/>
      <c r="B190" s="200">
        <v>8</v>
      </c>
      <c r="C190" s="200">
        <f t="shared" ref="C190:H190" si="181">I72</f>
        <v>230</v>
      </c>
      <c r="D190" s="200">
        <f t="shared" si="181"/>
        <v>-0.15</v>
      </c>
      <c r="E190" s="200">
        <f t="shared" si="181"/>
        <v>-0.54</v>
      </c>
      <c r="F190" s="200" t="str">
        <f t="shared" si="181"/>
        <v>-</v>
      </c>
      <c r="G190" s="200">
        <f t="shared" si="181"/>
        <v>0.19500000000000001</v>
      </c>
      <c r="H190" s="200">
        <f t="shared" si="181"/>
        <v>2.7600000000000002</v>
      </c>
      <c r="J190" s="1056"/>
      <c r="K190" s="200">
        <v>8</v>
      </c>
      <c r="L190" s="200">
        <f t="shared" ref="L190:Q190" si="182">I80</f>
        <v>500</v>
      </c>
      <c r="M190" s="200">
        <f t="shared" si="182"/>
        <v>-31.8</v>
      </c>
      <c r="N190" s="200">
        <f t="shared" si="182"/>
        <v>8.3000000000000007</v>
      </c>
      <c r="O190" s="200" t="str">
        <f t="shared" si="182"/>
        <v>-</v>
      </c>
      <c r="P190" s="200">
        <f t="shared" si="182"/>
        <v>20.05</v>
      </c>
      <c r="Q190" s="200">
        <f t="shared" si="182"/>
        <v>2.9499999999999997</v>
      </c>
    </row>
    <row r="191" spans="1:17" x14ac:dyDescent="0.25">
      <c r="A191" s="1056"/>
      <c r="B191" s="200">
        <v>9</v>
      </c>
      <c r="C191" s="200">
        <f t="shared" ref="C191:H191" si="183">P72</f>
        <v>229.61</v>
      </c>
      <c r="D191" s="200">
        <f t="shared" si="183"/>
        <v>-0.34</v>
      </c>
      <c r="E191" s="200">
        <f t="shared" si="183"/>
        <v>-0.39</v>
      </c>
      <c r="F191" s="200" t="str">
        <f t="shared" si="183"/>
        <v>-</v>
      </c>
      <c r="G191" s="200">
        <f t="shared" si="183"/>
        <v>2.4999999999999994E-2</v>
      </c>
      <c r="H191" s="200">
        <f t="shared" si="183"/>
        <v>2.7553200000000002</v>
      </c>
      <c r="J191" s="1056"/>
      <c r="K191" s="200">
        <v>9</v>
      </c>
      <c r="L191" s="200">
        <f t="shared" ref="L191:Q191" si="184">P80</f>
        <v>507.2</v>
      </c>
      <c r="M191" s="200">
        <f t="shared" si="184"/>
        <v>-0.2</v>
      </c>
      <c r="N191" s="200">
        <f t="shared" si="184"/>
        <v>7.2</v>
      </c>
      <c r="O191" s="200" t="str">
        <f t="shared" si="184"/>
        <v>-</v>
      </c>
      <c r="P191" s="200">
        <f t="shared" si="184"/>
        <v>3.7</v>
      </c>
      <c r="Q191" s="200">
        <f t="shared" si="184"/>
        <v>2.99248</v>
      </c>
    </row>
    <row r="192" spans="1:17" x14ac:dyDescent="0.25">
      <c r="A192" s="1056"/>
      <c r="B192" s="200">
        <v>10</v>
      </c>
      <c r="C192" s="200">
        <f>B103</f>
        <v>230</v>
      </c>
      <c r="D192" s="200">
        <f t="shared" ref="D192:F192" si="185">C103</f>
        <v>-0.11</v>
      </c>
      <c r="E192" s="200" t="str">
        <f t="shared" si="185"/>
        <v>-</v>
      </c>
      <c r="F192" s="200" t="str">
        <f t="shared" si="185"/>
        <v>-</v>
      </c>
      <c r="G192" s="200">
        <f>F103</f>
        <v>0</v>
      </c>
      <c r="H192" s="200" t="str">
        <f>G103</f>
        <v>-</v>
      </c>
      <c r="J192" s="1056"/>
      <c r="K192" s="200">
        <v>10</v>
      </c>
      <c r="L192" s="200">
        <f t="shared" ref="L192:Q192" si="186">B111</f>
        <v>500</v>
      </c>
      <c r="M192" s="200">
        <f t="shared" si="186"/>
        <v>1.5</v>
      </c>
      <c r="N192" s="200" t="str">
        <f t="shared" si="186"/>
        <v>-</v>
      </c>
      <c r="O192" s="200" t="str">
        <f t="shared" si="186"/>
        <v>-</v>
      </c>
      <c r="P192" s="200">
        <f t="shared" si="186"/>
        <v>0</v>
      </c>
      <c r="Q192" s="200" t="str">
        <f t="shared" si="186"/>
        <v>-</v>
      </c>
    </row>
    <row r="193" spans="1:17" x14ac:dyDescent="0.25">
      <c r="A193" s="1056"/>
      <c r="B193" s="200">
        <v>11</v>
      </c>
      <c r="C193" s="200">
        <f>I103</f>
        <v>230</v>
      </c>
      <c r="D193" s="200">
        <f t="shared" ref="D193:F193" si="187">J103</f>
        <v>9.9999999999999995E-7</v>
      </c>
      <c r="E193" s="200" t="str">
        <f t="shared" si="187"/>
        <v>-</v>
      </c>
      <c r="F193" s="200" t="str">
        <f t="shared" si="187"/>
        <v>-</v>
      </c>
      <c r="G193" s="200">
        <f>M103</f>
        <v>0</v>
      </c>
      <c r="H193" s="200" t="str">
        <f>N103</f>
        <v>-</v>
      </c>
      <c r="J193" s="1056"/>
      <c r="K193" s="200">
        <v>11</v>
      </c>
      <c r="L193" s="200">
        <f t="shared" ref="L193:Q193" si="188">I111</f>
        <v>500</v>
      </c>
      <c r="M193" s="200">
        <f t="shared" si="188"/>
        <v>9.9999999999999995E-7</v>
      </c>
      <c r="N193" s="200" t="str">
        <f t="shared" si="188"/>
        <v>-</v>
      </c>
      <c r="O193" s="200" t="str">
        <f t="shared" si="188"/>
        <v>-</v>
      </c>
      <c r="P193" s="200">
        <f t="shared" si="188"/>
        <v>0</v>
      </c>
      <c r="Q193" s="200" t="str">
        <f t="shared" si="188"/>
        <v>-</v>
      </c>
    </row>
    <row r="194" spans="1:17" x14ac:dyDescent="0.25">
      <c r="A194" s="1056"/>
      <c r="B194" s="200">
        <v>12</v>
      </c>
      <c r="C194" s="200">
        <f>P103</f>
        <v>230</v>
      </c>
      <c r="D194" s="200">
        <f t="shared" ref="D194:F194" si="189">Q103</f>
        <v>9.9999999999999995E-7</v>
      </c>
      <c r="E194" s="200" t="str">
        <f t="shared" si="189"/>
        <v>-</v>
      </c>
      <c r="F194" s="200" t="str">
        <f t="shared" si="189"/>
        <v>-</v>
      </c>
      <c r="G194" s="200">
        <f>T103</f>
        <v>0</v>
      </c>
      <c r="H194" s="200" t="str">
        <f>U103</f>
        <v>-</v>
      </c>
      <c r="J194" s="1056"/>
      <c r="K194" s="200">
        <v>12</v>
      </c>
      <c r="L194" s="200">
        <f t="shared" ref="L194:Q194" si="190">P111</f>
        <v>500</v>
      </c>
      <c r="M194" s="200">
        <f t="shared" si="190"/>
        <v>9.9999999999999995E-7</v>
      </c>
      <c r="N194" s="200" t="str">
        <f t="shared" si="190"/>
        <v>-</v>
      </c>
      <c r="O194" s="200" t="str">
        <f t="shared" si="190"/>
        <v>-</v>
      </c>
      <c r="P194" s="200">
        <f t="shared" si="190"/>
        <v>0</v>
      </c>
      <c r="Q194" s="200" t="str">
        <f t="shared" si="190"/>
        <v>-</v>
      </c>
    </row>
    <row r="195" spans="1:17" s="65" customFormat="1" x14ac:dyDescent="0.25">
      <c r="A195" s="203"/>
      <c r="B195" s="203"/>
      <c r="C195" s="203"/>
      <c r="D195" s="203"/>
      <c r="E195" s="203"/>
      <c r="F195" s="475"/>
      <c r="G195" s="203"/>
      <c r="H195" s="203"/>
      <c r="J195" s="203"/>
      <c r="K195" s="203"/>
      <c r="L195" s="203"/>
      <c r="M195" s="203"/>
      <c r="N195" s="203"/>
      <c r="O195" s="475"/>
      <c r="P195" s="203"/>
      <c r="Q195" s="203"/>
    </row>
    <row r="196" spans="1:17" ht="14" x14ac:dyDescent="0.25">
      <c r="A196" s="1056" t="s">
        <v>253</v>
      </c>
      <c r="B196" s="197">
        <v>1</v>
      </c>
      <c r="C196" s="197">
        <f t="shared" ref="C196:H196" si="191">B11</f>
        <v>250</v>
      </c>
      <c r="D196" s="197">
        <f t="shared" si="191"/>
        <v>-0.36</v>
      </c>
      <c r="E196" s="197">
        <f t="shared" si="191"/>
        <v>-0.32</v>
      </c>
      <c r="F196" s="197">
        <f t="shared" si="191"/>
        <v>9.9999999999999995E-7</v>
      </c>
      <c r="G196" s="197">
        <f t="shared" si="191"/>
        <v>0.18000049999999998</v>
      </c>
      <c r="H196" s="197">
        <f t="shared" si="191"/>
        <v>3</v>
      </c>
      <c r="J196" s="1056" t="s">
        <v>253</v>
      </c>
      <c r="K196" s="197">
        <v>1</v>
      </c>
      <c r="L196" s="200">
        <f t="shared" ref="L196:Q196" si="192">B19</f>
        <v>1000</v>
      </c>
      <c r="M196" s="200">
        <f t="shared" si="192"/>
        <v>-26</v>
      </c>
      <c r="N196" s="200">
        <f t="shared" si="192"/>
        <v>9.9999999999999995E-7</v>
      </c>
      <c r="O196" s="200">
        <f t="shared" si="192"/>
        <v>9.9999999999999995E-7</v>
      </c>
      <c r="P196" s="200">
        <f t="shared" si="192"/>
        <v>13.000000500000001</v>
      </c>
      <c r="Q196" s="200">
        <f t="shared" si="192"/>
        <v>5.8999999999999995</v>
      </c>
    </row>
    <row r="197" spans="1:17" ht="14" x14ac:dyDescent="0.25">
      <c r="A197" s="1056"/>
      <c r="B197" s="197">
        <v>2</v>
      </c>
      <c r="C197" s="201">
        <f t="shared" ref="C197:H197" si="193">I11</f>
        <v>250</v>
      </c>
      <c r="D197" s="201">
        <f t="shared" si="193"/>
        <v>9.9999999999999995E-7</v>
      </c>
      <c r="E197" s="201">
        <f t="shared" si="193"/>
        <v>9.9999999999999995E-7</v>
      </c>
      <c r="F197" s="201">
        <f t="shared" si="193"/>
        <v>9.9999999999999995E-7</v>
      </c>
      <c r="G197" s="201">
        <f t="shared" si="193"/>
        <v>9.9999999999999995E-7</v>
      </c>
      <c r="H197" s="201">
        <f t="shared" si="193"/>
        <v>3</v>
      </c>
      <c r="J197" s="1056"/>
      <c r="K197" s="197">
        <v>2</v>
      </c>
      <c r="L197" s="200">
        <f t="shared" ref="L197:Q197" si="194">I19</f>
        <v>1000</v>
      </c>
      <c r="M197" s="200">
        <f t="shared" si="194"/>
        <v>-67</v>
      </c>
      <c r="N197" s="200">
        <f t="shared" si="194"/>
        <v>9.9999999999999995E-7</v>
      </c>
      <c r="O197" s="200">
        <f t="shared" si="194"/>
        <v>9.9999999999999995E-7</v>
      </c>
      <c r="P197" s="200">
        <f t="shared" si="194"/>
        <v>33.500000499999999</v>
      </c>
      <c r="Q197" s="200">
        <f t="shared" si="194"/>
        <v>5.8999999999999995</v>
      </c>
    </row>
    <row r="198" spans="1:17" x14ac:dyDescent="0.25">
      <c r="A198" s="1056"/>
      <c r="B198" s="201">
        <v>3</v>
      </c>
      <c r="C198" s="201">
        <f t="shared" ref="C198:H198" si="195">P11</f>
        <v>250</v>
      </c>
      <c r="D198" s="201">
        <f t="shared" si="195"/>
        <v>9.9999999999999995E-7</v>
      </c>
      <c r="E198" s="201">
        <f t="shared" si="195"/>
        <v>9.9999999999999995E-7</v>
      </c>
      <c r="F198" s="201">
        <f t="shared" si="195"/>
        <v>9.9999999999999995E-7</v>
      </c>
      <c r="G198" s="201">
        <f t="shared" si="195"/>
        <v>0</v>
      </c>
      <c r="H198" s="201">
        <f t="shared" si="195"/>
        <v>3</v>
      </c>
      <c r="J198" s="1056"/>
      <c r="K198" s="201">
        <v>3</v>
      </c>
      <c r="L198" s="200">
        <f t="shared" ref="L198:Q198" si="196">P19</f>
        <v>1000</v>
      </c>
      <c r="M198" s="200">
        <f t="shared" si="196"/>
        <v>-47</v>
      </c>
      <c r="N198" s="200">
        <f t="shared" si="196"/>
        <v>3</v>
      </c>
      <c r="O198" s="200">
        <f t="shared" si="196"/>
        <v>3</v>
      </c>
      <c r="P198" s="200">
        <f t="shared" si="196"/>
        <v>25</v>
      </c>
      <c r="Q198" s="200">
        <f t="shared" si="196"/>
        <v>5.8999999999999995</v>
      </c>
    </row>
    <row r="199" spans="1:17" x14ac:dyDescent="0.25">
      <c r="A199" s="1056"/>
      <c r="B199" s="201">
        <v>4</v>
      </c>
      <c r="C199" s="201">
        <f t="shared" ref="C199:H199" si="197">B42</f>
        <v>250</v>
      </c>
      <c r="D199" s="201">
        <f t="shared" si="197"/>
        <v>9.9999999999999995E-7</v>
      </c>
      <c r="E199" s="201">
        <f t="shared" si="197"/>
        <v>9.9999999999999995E-7</v>
      </c>
      <c r="F199" s="201">
        <f t="shared" si="197"/>
        <v>9.9999999999999995E-7</v>
      </c>
      <c r="G199" s="201">
        <f t="shared" si="197"/>
        <v>9.9999999999999995E-7</v>
      </c>
      <c r="H199" s="201">
        <f t="shared" si="197"/>
        <v>3</v>
      </c>
      <c r="J199" s="1056"/>
      <c r="K199" s="201">
        <v>4</v>
      </c>
      <c r="L199" s="200">
        <f t="shared" ref="L199:Q199" si="198">B50</f>
        <v>1000</v>
      </c>
      <c r="M199" s="200">
        <f t="shared" si="198"/>
        <v>-100</v>
      </c>
      <c r="N199" s="200">
        <f t="shared" si="198"/>
        <v>2</v>
      </c>
      <c r="O199" s="200">
        <f t="shared" si="198"/>
        <v>2</v>
      </c>
      <c r="P199" s="200">
        <f t="shared" si="198"/>
        <v>51</v>
      </c>
      <c r="Q199" s="200">
        <f t="shared" si="198"/>
        <v>5.8999999999999995</v>
      </c>
    </row>
    <row r="200" spans="1:17" x14ac:dyDescent="0.25">
      <c r="A200" s="1056"/>
      <c r="B200" s="200">
        <v>5</v>
      </c>
      <c r="C200" s="200">
        <f t="shared" ref="C200:H200" si="199">I42</f>
        <v>250</v>
      </c>
      <c r="D200" s="200">
        <f t="shared" si="199"/>
        <v>9.9999999999999995E-7</v>
      </c>
      <c r="E200" s="200">
        <f t="shared" si="199"/>
        <v>9.9999999999999995E-7</v>
      </c>
      <c r="F200" s="200">
        <f t="shared" si="199"/>
        <v>9.9999999999999995E-7</v>
      </c>
      <c r="G200" s="200">
        <f t="shared" si="199"/>
        <v>9.9999999999999995E-7</v>
      </c>
      <c r="H200" s="200">
        <f t="shared" si="199"/>
        <v>3</v>
      </c>
      <c r="J200" s="1056"/>
      <c r="K200" s="200">
        <v>5</v>
      </c>
      <c r="L200" s="200">
        <f t="shared" ref="L200:Q200" si="200">I50</f>
        <v>850</v>
      </c>
      <c r="M200" s="200">
        <f t="shared" si="200"/>
        <v>-88</v>
      </c>
      <c r="N200" s="200">
        <f t="shared" si="200"/>
        <v>9.9999999999999995E-7</v>
      </c>
      <c r="O200" s="200">
        <f t="shared" si="200"/>
        <v>9.9999999999999995E-7</v>
      </c>
      <c r="P200" s="200">
        <f t="shared" si="200"/>
        <v>44.000000499999999</v>
      </c>
      <c r="Q200" s="200">
        <f t="shared" si="200"/>
        <v>5.0149999999999997</v>
      </c>
    </row>
    <row r="201" spans="1:17" x14ac:dyDescent="0.25">
      <c r="A201" s="1056"/>
      <c r="B201" s="200">
        <v>6</v>
      </c>
      <c r="C201" s="200">
        <f t="shared" ref="C201:H201" si="201">P42</f>
        <v>250</v>
      </c>
      <c r="D201" s="200">
        <f t="shared" si="201"/>
        <v>9.9999999999999995E-7</v>
      </c>
      <c r="E201" s="200">
        <f t="shared" si="201"/>
        <v>9.9999999999999995E-7</v>
      </c>
      <c r="F201" s="200">
        <f t="shared" si="201"/>
        <v>9.9999999999999995E-7</v>
      </c>
      <c r="G201" s="200">
        <f t="shared" si="201"/>
        <v>0</v>
      </c>
      <c r="H201" s="200">
        <f t="shared" si="201"/>
        <v>3</v>
      </c>
      <c r="J201" s="1056"/>
      <c r="K201" s="200">
        <v>6</v>
      </c>
      <c r="L201" s="200">
        <f t="shared" ref="L201:Q201" si="202">P50</f>
        <v>1000</v>
      </c>
      <c r="M201" s="200">
        <f t="shared" si="202"/>
        <v>-11</v>
      </c>
      <c r="N201" s="200">
        <f t="shared" si="202"/>
        <v>9.9999999999999995E-7</v>
      </c>
      <c r="O201" s="200">
        <f t="shared" si="202"/>
        <v>9.9999999999999995E-7</v>
      </c>
      <c r="P201" s="200">
        <f t="shared" si="202"/>
        <v>5.5000004999999996</v>
      </c>
      <c r="Q201" s="200">
        <f t="shared" si="202"/>
        <v>5.8999999999999995</v>
      </c>
    </row>
    <row r="202" spans="1:17" x14ac:dyDescent="0.25">
      <c r="A202" s="1056"/>
      <c r="B202" s="200">
        <v>7</v>
      </c>
      <c r="C202" s="200">
        <f t="shared" ref="C202:H202" si="203">B73</f>
        <v>240.38</v>
      </c>
      <c r="D202" s="200">
        <f t="shared" si="203"/>
        <v>9.9999999999999995E-7</v>
      </c>
      <c r="E202" s="200">
        <f t="shared" si="203"/>
        <v>0.38</v>
      </c>
      <c r="F202" s="200">
        <f t="shared" si="203"/>
        <v>9.9999999999999995E-7</v>
      </c>
      <c r="G202" s="200">
        <f t="shared" si="203"/>
        <v>0.18999950000000002</v>
      </c>
      <c r="H202" s="200">
        <f t="shared" si="203"/>
        <v>2.88456</v>
      </c>
      <c r="J202" s="1056"/>
      <c r="K202" s="200">
        <v>7</v>
      </c>
      <c r="L202" s="200">
        <f t="shared" ref="L202:Q202" si="204">B81</f>
        <v>1000</v>
      </c>
      <c r="M202" s="200">
        <f t="shared" si="204"/>
        <v>-10</v>
      </c>
      <c r="N202" s="200">
        <f t="shared" si="204"/>
        <v>9.9999999999999995E-7</v>
      </c>
      <c r="O202" s="200">
        <f t="shared" si="204"/>
        <v>9.9999999999999995E-7</v>
      </c>
      <c r="P202" s="200">
        <f t="shared" si="204"/>
        <v>5.0000004999999996</v>
      </c>
      <c r="Q202" s="200">
        <f t="shared" si="204"/>
        <v>5.8999999999999995</v>
      </c>
    </row>
    <row r="203" spans="1:17" x14ac:dyDescent="0.25">
      <c r="A203" s="1056"/>
      <c r="B203" s="200">
        <v>8</v>
      </c>
      <c r="C203" s="200">
        <f t="shared" ref="C203:H203" si="205">I73</f>
        <v>250</v>
      </c>
      <c r="D203" s="200">
        <f t="shared" si="205"/>
        <v>9.9999999999999995E-7</v>
      </c>
      <c r="E203" s="200">
        <f t="shared" si="205"/>
        <v>-0.49</v>
      </c>
      <c r="F203" s="200" t="str">
        <f t="shared" si="205"/>
        <v>-</v>
      </c>
      <c r="G203" s="200">
        <f t="shared" si="205"/>
        <v>0.24500049999999998</v>
      </c>
      <c r="H203" s="200">
        <f t="shared" si="205"/>
        <v>3</v>
      </c>
      <c r="J203" s="1056"/>
      <c r="K203" s="200">
        <v>8</v>
      </c>
      <c r="L203" s="200">
        <f t="shared" ref="L203:Q203" si="206">I81</f>
        <v>1000</v>
      </c>
      <c r="M203" s="200">
        <f t="shared" si="206"/>
        <v>-74</v>
      </c>
      <c r="N203" s="200">
        <f t="shared" si="206"/>
        <v>9.9999999999999995E-7</v>
      </c>
      <c r="O203" s="200" t="str">
        <f t="shared" si="206"/>
        <v>-</v>
      </c>
      <c r="P203" s="200">
        <f t="shared" si="206"/>
        <v>37.000000499999999</v>
      </c>
      <c r="Q203" s="200">
        <f t="shared" si="206"/>
        <v>5.8999999999999995</v>
      </c>
    </row>
    <row r="204" spans="1:17" x14ac:dyDescent="0.25">
      <c r="A204" s="1056"/>
      <c r="B204" s="200">
        <v>9</v>
      </c>
      <c r="C204" s="200">
        <f t="shared" ref="C204:H204" si="207">P73</f>
        <v>239.61</v>
      </c>
      <c r="D204" s="200">
        <f t="shared" si="207"/>
        <v>9.9999999999999995E-7</v>
      </c>
      <c r="E204" s="200">
        <f t="shared" si="207"/>
        <v>-0.39</v>
      </c>
      <c r="F204" s="200" t="str">
        <f t="shared" si="207"/>
        <v>-</v>
      </c>
      <c r="G204" s="200">
        <f t="shared" si="207"/>
        <v>0.19500049999999999</v>
      </c>
      <c r="H204" s="200">
        <f t="shared" si="207"/>
        <v>2.8753200000000003</v>
      </c>
      <c r="J204" s="1056"/>
      <c r="K204" s="200">
        <v>9</v>
      </c>
      <c r="L204" s="200">
        <f t="shared" ref="L204:Q204" si="208">P81</f>
        <v>920</v>
      </c>
      <c r="M204" s="200">
        <f t="shared" si="208"/>
        <v>-66</v>
      </c>
      <c r="N204" s="200">
        <f t="shared" si="208"/>
        <v>9.9999999999999995E-7</v>
      </c>
      <c r="O204" s="200" t="str">
        <f t="shared" si="208"/>
        <v>-</v>
      </c>
      <c r="P204" s="200">
        <f t="shared" si="208"/>
        <v>33.000000499999999</v>
      </c>
      <c r="Q204" s="200">
        <f t="shared" si="208"/>
        <v>5.4279999999999999</v>
      </c>
    </row>
    <row r="205" spans="1:17" x14ac:dyDescent="0.25">
      <c r="A205" s="1056"/>
      <c r="B205" s="200">
        <v>10</v>
      </c>
      <c r="C205" s="200">
        <f>B104</f>
        <v>250</v>
      </c>
      <c r="D205" s="200">
        <f t="shared" ref="D205:F205" si="209">C104</f>
        <v>-0.11</v>
      </c>
      <c r="E205" s="200" t="str">
        <f t="shared" si="209"/>
        <v>-</v>
      </c>
      <c r="F205" s="200" t="str">
        <f t="shared" si="209"/>
        <v>-</v>
      </c>
      <c r="G205" s="200">
        <f>F104</f>
        <v>0</v>
      </c>
      <c r="H205" s="200" t="str">
        <f>G104</f>
        <v>-</v>
      </c>
      <c r="J205" s="1056"/>
      <c r="K205" s="200">
        <v>10</v>
      </c>
      <c r="L205" s="200">
        <f t="shared" ref="L205:Q205" si="210">B112</f>
        <v>1000</v>
      </c>
      <c r="M205" s="200">
        <f t="shared" si="210"/>
        <v>2</v>
      </c>
      <c r="N205" s="200" t="str">
        <f t="shared" si="210"/>
        <v>-</v>
      </c>
      <c r="O205" s="200" t="str">
        <f t="shared" si="210"/>
        <v>-</v>
      </c>
      <c r="P205" s="200">
        <f t="shared" si="210"/>
        <v>0</v>
      </c>
      <c r="Q205" s="200" t="str">
        <f t="shared" si="210"/>
        <v>-</v>
      </c>
    </row>
    <row r="206" spans="1:17" x14ac:dyDescent="0.25">
      <c r="A206" s="1056"/>
      <c r="B206" s="200">
        <v>11</v>
      </c>
      <c r="C206" s="200">
        <f>I104</f>
        <v>250</v>
      </c>
      <c r="D206" s="200">
        <f t="shared" ref="D206:F206" si="211">J104</f>
        <v>9.9999999999999995E-7</v>
      </c>
      <c r="E206" s="200" t="str">
        <f t="shared" si="211"/>
        <v>-</v>
      </c>
      <c r="F206" s="200" t="str">
        <f t="shared" si="211"/>
        <v>-</v>
      </c>
      <c r="G206" s="200">
        <f>M104</f>
        <v>0</v>
      </c>
      <c r="H206" s="200" t="str">
        <f>N104</f>
        <v>-</v>
      </c>
      <c r="J206" s="1056"/>
      <c r="K206" s="200">
        <v>11</v>
      </c>
      <c r="L206" s="200">
        <f t="shared" ref="L206:Q206" si="212">I112</f>
        <v>1000</v>
      </c>
      <c r="M206" s="200">
        <f t="shared" si="212"/>
        <v>9.9999999999999995E-7</v>
      </c>
      <c r="N206" s="200" t="str">
        <f t="shared" si="212"/>
        <v>-</v>
      </c>
      <c r="O206" s="200" t="str">
        <f t="shared" si="212"/>
        <v>-</v>
      </c>
      <c r="P206" s="200">
        <f t="shared" si="212"/>
        <v>0</v>
      </c>
      <c r="Q206" s="200" t="str">
        <f t="shared" si="212"/>
        <v>-</v>
      </c>
    </row>
    <row r="207" spans="1:17" x14ac:dyDescent="0.25">
      <c r="A207" s="1056"/>
      <c r="B207" s="200">
        <v>12</v>
      </c>
      <c r="C207" s="200">
        <f>P104</f>
        <v>250</v>
      </c>
      <c r="D207" s="200">
        <f t="shared" ref="D207:F207" si="213">Q104</f>
        <v>9.9999999999999995E-7</v>
      </c>
      <c r="E207" s="200" t="str">
        <f t="shared" si="213"/>
        <v>-</v>
      </c>
      <c r="F207" s="200" t="str">
        <f t="shared" si="213"/>
        <v>-</v>
      </c>
      <c r="G207" s="200">
        <f>T104</f>
        <v>0</v>
      </c>
      <c r="H207" s="200" t="str">
        <f>U104</f>
        <v>-</v>
      </c>
      <c r="J207" s="1056"/>
      <c r="K207" s="200">
        <v>12</v>
      </c>
      <c r="L207" s="200">
        <f t="shared" ref="L207:Q207" si="214">P112</f>
        <v>1000</v>
      </c>
      <c r="M207" s="200">
        <f t="shared" si="214"/>
        <v>9.9999999999999995E-7</v>
      </c>
      <c r="N207" s="200" t="str">
        <f t="shared" si="214"/>
        <v>-</v>
      </c>
      <c r="O207" s="200" t="str">
        <f t="shared" si="214"/>
        <v>-</v>
      </c>
      <c r="P207" s="200">
        <f t="shared" si="214"/>
        <v>0</v>
      </c>
      <c r="Q207" s="200" t="str">
        <f t="shared" si="214"/>
        <v>-</v>
      </c>
    </row>
    <row r="208" spans="1:17" x14ac:dyDescent="0.25">
      <c r="A208" s="473"/>
      <c r="B208" s="457"/>
      <c r="C208" s="457"/>
      <c r="D208" s="473"/>
      <c r="E208" s="473"/>
      <c r="F208" s="473"/>
      <c r="G208" s="473"/>
      <c r="H208" s="473"/>
      <c r="J208" s="473"/>
      <c r="K208" s="473"/>
      <c r="L208" s="473"/>
      <c r="M208" s="473"/>
      <c r="N208" s="473"/>
      <c r="O208" s="473"/>
      <c r="P208" s="473"/>
      <c r="Q208" s="473"/>
    </row>
    <row r="209" spans="1:17" ht="14" x14ac:dyDescent="0.3">
      <c r="A209" s="1056" t="s">
        <v>252</v>
      </c>
      <c r="B209" s="1058"/>
      <c r="C209" s="1057" t="s">
        <v>231</v>
      </c>
      <c r="D209" s="1057"/>
      <c r="E209" s="1057"/>
      <c r="F209" s="1057"/>
      <c r="G209" s="1057"/>
      <c r="H209" s="1057"/>
      <c r="J209" s="1056" t="s">
        <v>252</v>
      </c>
      <c r="K209" s="1058"/>
      <c r="L209" s="1077" t="s">
        <v>231</v>
      </c>
      <c r="M209" s="1077"/>
      <c r="N209" s="1077"/>
      <c r="O209" s="1077"/>
      <c r="P209" s="1077"/>
      <c r="Q209" s="1077"/>
    </row>
    <row r="210" spans="1:17" ht="13" customHeight="1" x14ac:dyDescent="0.25">
      <c r="A210" s="1056"/>
      <c r="B210" s="1058"/>
      <c r="C210" s="1060" t="str">
        <f>B20</f>
        <v>Main-PE</v>
      </c>
      <c r="D210" s="1060"/>
      <c r="E210" s="1060"/>
      <c r="F210" s="1060"/>
      <c r="G210" s="477" t="s">
        <v>233</v>
      </c>
      <c r="H210" s="477" t="s">
        <v>173</v>
      </c>
      <c r="J210" s="1056"/>
      <c r="K210" s="1058"/>
      <c r="L210" s="1060" t="str">
        <f>B26</f>
        <v>Resistance</v>
      </c>
      <c r="M210" s="1060"/>
      <c r="N210" s="1060"/>
      <c r="O210" s="1060"/>
      <c r="P210" s="477" t="s">
        <v>233</v>
      </c>
      <c r="Q210" s="477" t="s">
        <v>173</v>
      </c>
    </row>
    <row r="211" spans="1:17" ht="14.5" x14ac:dyDescent="0.25">
      <c r="A211" s="1056"/>
      <c r="B211" s="1058"/>
      <c r="C211" s="478" t="s">
        <v>335</v>
      </c>
      <c r="D211" s="477"/>
      <c r="E211" s="477"/>
      <c r="F211" s="473"/>
      <c r="G211" s="477"/>
      <c r="H211" s="477"/>
      <c r="J211" s="1056"/>
      <c r="K211" s="1058"/>
      <c r="L211" s="478" t="s">
        <v>336</v>
      </c>
      <c r="M211" s="477"/>
      <c r="N211" s="477"/>
      <c r="O211" s="473"/>
      <c r="P211" s="477"/>
      <c r="Q211" s="477"/>
    </row>
    <row r="212" spans="1:17" ht="14" x14ac:dyDescent="0.25">
      <c r="A212" s="1059" t="s">
        <v>49</v>
      </c>
      <c r="B212" s="200">
        <v>1</v>
      </c>
      <c r="C212" s="200">
        <f t="shared" ref="C212:H212" si="215">B22</f>
        <v>10</v>
      </c>
      <c r="D212" s="200">
        <f t="shared" si="215"/>
        <v>9.9999999999999995E-7</v>
      </c>
      <c r="E212" s="200">
        <f t="shared" si="215"/>
        <v>-1E-3</v>
      </c>
      <c r="F212" s="200">
        <f t="shared" si="215"/>
        <v>9.9999999999999995E-7</v>
      </c>
      <c r="G212" s="200">
        <f t="shared" si="215"/>
        <v>5.0049999999999997E-4</v>
      </c>
      <c r="H212" s="200">
        <f t="shared" si="215"/>
        <v>0.17</v>
      </c>
      <c r="J212" s="1059" t="s">
        <v>49</v>
      </c>
      <c r="K212" s="200">
        <v>1</v>
      </c>
      <c r="L212" s="197">
        <f t="shared" ref="L212:Q212" si="216">B28</f>
        <v>9.9999999999999995E-7</v>
      </c>
      <c r="M212" s="197">
        <f t="shared" si="216"/>
        <v>-2E-3</v>
      </c>
      <c r="N212" s="197">
        <f t="shared" si="216"/>
        <v>9.9999999999999995E-7</v>
      </c>
      <c r="O212" s="197">
        <f t="shared" si="216"/>
        <v>9.9999999999999995E-7</v>
      </c>
      <c r="P212" s="197">
        <f t="shared" si="216"/>
        <v>1.0005000000000001E-3</v>
      </c>
      <c r="Q212" s="197">
        <f t="shared" si="216"/>
        <v>1.2E-8</v>
      </c>
    </row>
    <row r="213" spans="1:17" ht="14" x14ac:dyDescent="0.25">
      <c r="A213" s="1059"/>
      <c r="B213" s="200">
        <v>2</v>
      </c>
      <c r="C213" s="200">
        <f t="shared" ref="C213:H213" si="217">I22</f>
        <v>10</v>
      </c>
      <c r="D213" s="200">
        <f t="shared" si="217"/>
        <v>9.9999999999999995E-7</v>
      </c>
      <c r="E213" s="200">
        <f t="shared" si="217"/>
        <v>0.1</v>
      </c>
      <c r="F213" s="200">
        <f t="shared" si="217"/>
        <v>9.9999999999999995E-7</v>
      </c>
      <c r="G213" s="200">
        <f t="shared" si="217"/>
        <v>4.9999500000000002E-2</v>
      </c>
      <c r="H213" s="200">
        <f t="shared" si="217"/>
        <v>0.17</v>
      </c>
      <c r="J213" s="1059"/>
      <c r="K213" s="200">
        <v>2</v>
      </c>
      <c r="L213" s="200">
        <f t="shared" ref="L213:Q213" si="218">I28</f>
        <v>0.01</v>
      </c>
      <c r="M213" s="200">
        <f t="shared" si="218"/>
        <v>9.9999999999999995E-7</v>
      </c>
      <c r="N213" s="200">
        <f t="shared" si="218"/>
        <v>9.9999999999999995E-7</v>
      </c>
      <c r="O213" s="200">
        <f t="shared" si="218"/>
        <v>9.9999999999999995E-7</v>
      </c>
      <c r="P213" s="200">
        <f t="shared" si="218"/>
        <v>9.9999999999999995E-7</v>
      </c>
      <c r="Q213" s="197">
        <f t="shared" si="218"/>
        <v>1.2E-4</v>
      </c>
    </row>
    <row r="214" spans="1:17" ht="14" x14ac:dyDescent="0.25">
      <c r="A214" s="1059"/>
      <c r="B214" s="200">
        <v>3</v>
      </c>
      <c r="C214" s="200">
        <f t="shared" ref="C214:H214" si="219">P22</f>
        <v>5</v>
      </c>
      <c r="D214" s="200">
        <f t="shared" si="219"/>
        <v>9.9999999999999995E-7</v>
      </c>
      <c r="E214" s="200">
        <f t="shared" si="219"/>
        <v>9.9999999999999995E-7</v>
      </c>
      <c r="F214" s="200">
        <f t="shared" si="219"/>
        <v>9.9999999999999995E-7</v>
      </c>
      <c r="G214" s="200">
        <f t="shared" si="219"/>
        <v>9.9999999999999995E-7</v>
      </c>
      <c r="H214" s="200">
        <f t="shared" si="219"/>
        <v>8.5000000000000006E-2</v>
      </c>
      <c r="J214" s="1059"/>
      <c r="K214" s="200">
        <v>3</v>
      </c>
      <c r="L214" s="200">
        <f t="shared" ref="L214:Q214" si="220">P28</f>
        <v>9.9999999999999995E-7</v>
      </c>
      <c r="M214" s="200">
        <f t="shared" si="220"/>
        <v>-1E-3</v>
      </c>
      <c r="N214" s="200">
        <f t="shared" si="220"/>
        <v>9.9999999999999995E-7</v>
      </c>
      <c r="O214" s="200">
        <f t="shared" si="220"/>
        <v>9.9999999999999995E-7</v>
      </c>
      <c r="P214" s="200">
        <f t="shared" si="220"/>
        <v>5.0049999999999997E-4</v>
      </c>
      <c r="Q214" s="197">
        <f t="shared" si="220"/>
        <v>1.2E-8</v>
      </c>
    </row>
    <row r="215" spans="1:17" ht="14" x14ac:dyDescent="0.25">
      <c r="A215" s="1059"/>
      <c r="B215" s="200">
        <v>4</v>
      </c>
      <c r="C215" s="200">
        <f t="shared" ref="C215:H215" si="221">B53</f>
        <v>10</v>
      </c>
      <c r="D215" s="200">
        <f t="shared" si="221"/>
        <v>9.9999999999999995E-7</v>
      </c>
      <c r="E215" s="200">
        <f t="shared" si="221"/>
        <v>9.9999999999999995E-7</v>
      </c>
      <c r="F215" s="200">
        <f t="shared" si="221"/>
        <v>0.1</v>
      </c>
      <c r="G215" s="200">
        <f t="shared" si="221"/>
        <v>4.9999500000000002E-2</v>
      </c>
      <c r="H215" s="200">
        <f t="shared" si="221"/>
        <v>0.17</v>
      </c>
      <c r="J215" s="1059"/>
      <c r="K215" s="200">
        <v>4</v>
      </c>
      <c r="L215" s="200">
        <f t="shared" ref="L215:Q215" si="222">B59</f>
        <v>0.01</v>
      </c>
      <c r="M215" s="200">
        <f t="shared" si="222"/>
        <v>9.9999999999999995E-7</v>
      </c>
      <c r="N215" s="200">
        <f t="shared" si="222"/>
        <v>9.9999999999999995E-7</v>
      </c>
      <c r="O215" s="200">
        <f t="shared" si="222"/>
        <v>9.9999999999999995E-7</v>
      </c>
      <c r="P215" s="200">
        <f t="shared" si="222"/>
        <v>9.9999999999999995E-7</v>
      </c>
      <c r="Q215" s="197">
        <f t="shared" si="222"/>
        <v>1.2E-4</v>
      </c>
    </row>
    <row r="216" spans="1:17" ht="14" x14ac:dyDescent="0.25">
      <c r="A216" s="1059"/>
      <c r="B216" s="200">
        <v>5</v>
      </c>
      <c r="C216" s="200">
        <f t="shared" ref="C216:H216" si="223">I53</f>
        <v>10</v>
      </c>
      <c r="D216" s="200">
        <f t="shared" si="223"/>
        <v>9.9999999999999995E-7</v>
      </c>
      <c r="E216" s="200">
        <f t="shared" si="223"/>
        <v>9.9999999999999995E-7</v>
      </c>
      <c r="F216" s="200">
        <f t="shared" si="223"/>
        <v>0.1</v>
      </c>
      <c r="G216" s="200">
        <f t="shared" si="223"/>
        <v>4.9999500000000002E-2</v>
      </c>
      <c r="H216" s="200">
        <f t="shared" si="223"/>
        <v>0.17</v>
      </c>
      <c r="J216" s="1059"/>
      <c r="K216" s="200">
        <v>5</v>
      </c>
      <c r="L216" s="200">
        <f t="shared" ref="L216:Q216" si="224">I59</f>
        <v>0.01</v>
      </c>
      <c r="M216" s="200">
        <f t="shared" si="224"/>
        <v>9.9999999999999995E-7</v>
      </c>
      <c r="N216" s="200">
        <f t="shared" si="224"/>
        <v>9.9999999999999995E-7</v>
      </c>
      <c r="O216" s="200">
        <f t="shared" si="224"/>
        <v>9.9999999999999995E-7</v>
      </c>
      <c r="P216" s="200">
        <f t="shared" si="224"/>
        <v>9.9999999999999995E-7</v>
      </c>
      <c r="Q216" s="197">
        <f t="shared" si="224"/>
        <v>1.2E-4</v>
      </c>
    </row>
    <row r="217" spans="1:17" ht="14" x14ac:dyDescent="0.25">
      <c r="A217" s="1059"/>
      <c r="B217" s="200">
        <v>6</v>
      </c>
      <c r="C217" s="200">
        <f t="shared" ref="C217:H217" si="225">P53</f>
        <v>10</v>
      </c>
      <c r="D217" s="200">
        <f t="shared" si="225"/>
        <v>0.1</v>
      </c>
      <c r="E217" s="200">
        <f t="shared" si="225"/>
        <v>0.1</v>
      </c>
      <c r="F217" s="200">
        <f t="shared" si="225"/>
        <v>9.9999999999999995E-7</v>
      </c>
      <c r="G217" s="200">
        <f t="shared" si="225"/>
        <v>4.9999500000000002E-2</v>
      </c>
      <c r="H217" s="200">
        <f t="shared" si="225"/>
        <v>0.17</v>
      </c>
      <c r="J217" s="1059"/>
      <c r="K217" s="200">
        <v>6</v>
      </c>
      <c r="L217" s="200">
        <f t="shared" ref="L217:Q217" si="226">P59</f>
        <v>0.01</v>
      </c>
      <c r="M217" s="200">
        <f t="shared" si="226"/>
        <v>9.9999999999999995E-7</v>
      </c>
      <c r="N217" s="200">
        <f t="shared" si="226"/>
        <v>9.9999999999999995E-7</v>
      </c>
      <c r="O217" s="200">
        <f t="shared" si="226"/>
        <v>9.9999999999999995E-7</v>
      </c>
      <c r="P217" s="200">
        <f t="shared" si="226"/>
        <v>9.9999999999999995E-7</v>
      </c>
      <c r="Q217" s="197">
        <f t="shared" si="226"/>
        <v>1.2E-4</v>
      </c>
    </row>
    <row r="218" spans="1:17" ht="14" x14ac:dyDescent="0.25">
      <c r="A218" s="1059"/>
      <c r="B218" s="200">
        <v>7</v>
      </c>
      <c r="C218" s="200">
        <f t="shared" ref="C218:H218" si="227">B84</f>
        <v>10</v>
      </c>
      <c r="D218" s="200">
        <f t="shared" si="227"/>
        <v>9.9999999999999995E-7</v>
      </c>
      <c r="E218" s="200">
        <f t="shared" si="227"/>
        <v>9.9999999999999995E-7</v>
      </c>
      <c r="F218" s="200">
        <f t="shared" si="227"/>
        <v>9.9999999999999995E-7</v>
      </c>
      <c r="G218" s="200">
        <f t="shared" si="227"/>
        <v>9.9999999999999995E-7</v>
      </c>
      <c r="H218" s="200">
        <f t="shared" si="227"/>
        <v>0.17</v>
      </c>
      <c r="J218" s="1059"/>
      <c r="K218" s="200">
        <v>7</v>
      </c>
      <c r="L218" s="200">
        <f t="shared" ref="L218:Q218" si="228">B90</f>
        <v>0.01</v>
      </c>
      <c r="M218" s="200">
        <f t="shared" si="228"/>
        <v>9.9999999999999995E-7</v>
      </c>
      <c r="N218" s="200">
        <f t="shared" si="228"/>
        <v>9.9999999999999995E-7</v>
      </c>
      <c r="O218" s="200">
        <f t="shared" si="228"/>
        <v>9.9999999999999995E-7</v>
      </c>
      <c r="P218" s="200">
        <f t="shared" si="228"/>
        <v>9.9999999999999995E-7</v>
      </c>
      <c r="Q218" s="197">
        <f t="shared" si="228"/>
        <v>1.2E-4</v>
      </c>
    </row>
    <row r="219" spans="1:17" ht="14" x14ac:dyDescent="0.25">
      <c r="A219" s="1059"/>
      <c r="B219" s="200">
        <v>8</v>
      </c>
      <c r="C219" s="200">
        <f t="shared" ref="C219:H219" si="229">I84</f>
        <v>10</v>
      </c>
      <c r="D219" s="200">
        <f t="shared" si="229"/>
        <v>9.9999999999999995E-7</v>
      </c>
      <c r="E219" s="200">
        <f t="shared" si="229"/>
        <v>9.9999999999999995E-7</v>
      </c>
      <c r="F219" s="200" t="str">
        <f t="shared" si="229"/>
        <v>-</v>
      </c>
      <c r="G219" s="200">
        <f t="shared" si="229"/>
        <v>9.9999999999999995E-7</v>
      </c>
      <c r="H219" s="200">
        <f t="shared" si="229"/>
        <v>0.17</v>
      </c>
      <c r="J219" s="1059"/>
      <c r="K219" s="200">
        <v>8</v>
      </c>
      <c r="L219" s="200">
        <f t="shared" ref="L219:Q219" si="230">I90</f>
        <v>0.1</v>
      </c>
      <c r="M219" s="200">
        <f t="shared" si="230"/>
        <v>-1E-3</v>
      </c>
      <c r="N219" s="200">
        <f t="shared" si="230"/>
        <v>-1E-3</v>
      </c>
      <c r="O219" s="200" t="str">
        <f t="shared" si="230"/>
        <v>-</v>
      </c>
      <c r="P219" s="200">
        <f t="shared" si="230"/>
        <v>9.9999999999999995E-7</v>
      </c>
      <c r="Q219" s="197">
        <f t="shared" si="230"/>
        <v>1.2000000000000001E-3</v>
      </c>
    </row>
    <row r="220" spans="1:17" ht="14" x14ac:dyDescent="0.25">
      <c r="A220" s="1059"/>
      <c r="B220" s="200">
        <v>9</v>
      </c>
      <c r="C220" s="200">
        <f t="shared" ref="C220:H220" si="231">P84</f>
        <v>10</v>
      </c>
      <c r="D220" s="200">
        <f t="shared" si="231"/>
        <v>9.9999999999999995E-7</v>
      </c>
      <c r="E220" s="200">
        <f t="shared" si="231"/>
        <v>9.9999999999999995E-7</v>
      </c>
      <c r="F220" s="200" t="str">
        <f t="shared" si="231"/>
        <v>-</v>
      </c>
      <c r="G220" s="200">
        <f t="shared" si="231"/>
        <v>9.9999999999999995E-7</v>
      </c>
      <c r="H220" s="200">
        <f t="shared" si="231"/>
        <v>0.17</v>
      </c>
      <c r="J220" s="1059"/>
      <c r="K220" s="200">
        <v>9</v>
      </c>
      <c r="L220" s="200">
        <f t="shared" ref="L220:Q220" si="232">P90</f>
        <v>1E-3</v>
      </c>
      <c r="M220" s="200">
        <f t="shared" si="232"/>
        <v>-2E-3</v>
      </c>
      <c r="N220" s="200">
        <f t="shared" si="232"/>
        <v>-1E-3</v>
      </c>
      <c r="O220" s="200" t="str">
        <f t="shared" si="232"/>
        <v>-</v>
      </c>
      <c r="P220" s="200">
        <f t="shared" si="232"/>
        <v>5.0000000000000001E-4</v>
      </c>
      <c r="Q220" s="197">
        <f t="shared" si="232"/>
        <v>1.2E-5</v>
      </c>
    </row>
    <row r="221" spans="1:17" ht="14" x14ac:dyDescent="0.25">
      <c r="A221" s="1059"/>
      <c r="B221" s="200">
        <v>10</v>
      </c>
      <c r="C221" s="200">
        <f>B115</f>
        <v>10</v>
      </c>
      <c r="D221" s="200">
        <f t="shared" ref="D221:F221" si="233">C115</f>
        <v>9.9999999999999995E-7</v>
      </c>
      <c r="E221" s="200" t="str">
        <f t="shared" si="233"/>
        <v>-</v>
      </c>
      <c r="F221" s="200" t="str">
        <f t="shared" si="233"/>
        <v>-</v>
      </c>
      <c r="G221" s="200">
        <f>F115</f>
        <v>0</v>
      </c>
      <c r="H221" s="200" t="str">
        <f>G115</f>
        <v>-</v>
      </c>
      <c r="J221" s="1059"/>
      <c r="K221" s="200">
        <v>10</v>
      </c>
      <c r="L221" s="200">
        <f t="shared" ref="L221:Q221" si="234">B121</f>
        <v>0</v>
      </c>
      <c r="M221" s="200">
        <f t="shared" si="234"/>
        <v>9.9999999999999995E-7</v>
      </c>
      <c r="N221" s="200" t="str">
        <f t="shared" si="234"/>
        <v>-</v>
      </c>
      <c r="O221" s="200" t="str">
        <f t="shared" si="234"/>
        <v>-</v>
      </c>
      <c r="P221" s="200">
        <f t="shared" si="234"/>
        <v>0</v>
      </c>
      <c r="Q221" s="197" t="str">
        <f t="shared" si="234"/>
        <v>-</v>
      </c>
    </row>
    <row r="222" spans="1:17" ht="14" x14ac:dyDescent="0.25">
      <c r="A222" s="1059"/>
      <c r="B222" s="200">
        <v>11</v>
      </c>
      <c r="C222" s="200">
        <f>I115</f>
        <v>10</v>
      </c>
      <c r="D222" s="200">
        <f t="shared" ref="D222:F222" si="235">J115</f>
        <v>9.9999999999999995E-7</v>
      </c>
      <c r="E222" s="200" t="str">
        <f t="shared" si="235"/>
        <v>-</v>
      </c>
      <c r="F222" s="200" t="str">
        <f t="shared" si="235"/>
        <v>-</v>
      </c>
      <c r="G222" s="200">
        <f>M115</f>
        <v>0</v>
      </c>
      <c r="H222" s="200" t="str">
        <f>N115</f>
        <v>-</v>
      </c>
      <c r="J222" s="1059"/>
      <c r="K222" s="200">
        <v>11</v>
      </c>
      <c r="L222" s="200">
        <f t="shared" ref="L222:Q222" si="236">I121</f>
        <v>0.01</v>
      </c>
      <c r="M222" s="200">
        <f t="shared" si="236"/>
        <v>9.9999999999999995E-7</v>
      </c>
      <c r="N222" s="200" t="str">
        <f t="shared" si="236"/>
        <v>-</v>
      </c>
      <c r="O222" s="200" t="str">
        <f t="shared" si="236"/>
        <v>-</v>
      </c>
      <c r="P222" s="200">
        <f t="shared" si="236"/>
        <v>0</v>
      </c>
      <c r="Q222" s="197" t="str">
        <f t="shared" si="236"/>
        <v>-</v>
      </c>
    </row>
    <row r="223" spans="1:17" ht="14" x14ac:dyDescent="0.25">
      <c r="A223" s="1059"/>
      <c r="B223" s="200">
        <v>12</v>
      </c>
      <c r="C223" s="200">
        <f>P115</f>
        <v>10</v>
      </c>
      <c r="D223" s="200">
        <f t="shared" ref="D223:F223" si="237">Q115</f>
        <v>9.9999999999999995E-7</v>
      </c>
      <c r="E223" s="200" t="str">
        <f t="shared" si="237"/>
        <v>-</v>
      </c>
      <c r="F223" s="200" t="str">
        <f t="shared" si="237"/>
        <v>-</v>
      </c>
      <c r="G223" s="200">
        <f>T115</f>
        <v>0</v>
      </c>
      <c r="H223" s="200" t="str">
        <f>U115</f>
        <v>-</v>
      </c>
      <c r="J223" s="1059"/>
      <c r="K223" s="200">
        <v>12</v>
      </c>
      <c r="L223" s="200">
        <f t="shared" ref="L223:Q223" si="238">P121</f>
        <v>0.01</v>
      </c>
      <c r="M223" s="200">
        <f t="shared" si="238"/>
        <v>9.9999999999999995E-7</v>
      </c>
      <c r="N223" s="200" t="str">
        <f t="shared" si="238"/>
        <v>-</v>
      </c>
      <c r="O223" s="200" t="str">
        <f t="shared" si="238"/>
        <v>-</v>
      </c>
      <c r="P223" s="200">
        <f t="shared" si="238"/>
        <v>0</v>
      </c>
      <c r="Q223" s="197" t="str">
        <f t="shared" si="238"/>
        <v>-</v>
      </c>
    </row>
    <row r="224" spans="1:17" s="65" customFormat="1" x14ac:dyDescent="0.25">
      <c r="A224" s="472"/>
      <c r="B224" s="203"/>
      <c r="C224" s="203"/>
      <c r="D224" s="203"/>
      <c r="E224" s="203"/>
      <c r="F224" s="475"/>
      <c r="G224" s="203"/>
      <c r="H224" s="203"/>
      <c r="J224" s="472"/>
      <c r="K224" s="203"/>
      <c r="L224" s="203"/>
      <c r="M224" s="203"/>
      <c r="N224" s="203"/>
      <c r="O224" s="475"/>
      <c r="P224" s="203"/>
      <c r="Q224" s="203"/>
    </row>
    <row r="225" spans="1:17" x14ac:dyDescent="0.25">
      <c r="A225" s="1059" t="s">
        <v>50</v>
      </c>
      <c r="B225" s="200">
        <v>1</v>
      </c>
      <c r="C225" s="200">
        <f t="shared" ref="C225:H225" si="239">B23</f>
        <v>20</v>
      </c>
      <c r="D225" s="200">
        <f t="shared" si="239"/>
        <v>0.1</v>
      </c>
      <c r="E225" s="200">
        <f t="shared" si="239"/>
        <v>9.9999999999999995E-7</v>
      </c>
      <c r="F225" s="200">
        <f t="shared" si="239"/>
        <v>9.9999999999999995E-7</v>
      </c>
      <c r="G225" s="200">
        <f t="shared" si="239"/>
        <v>4.9999500000000002E-2</v>
      </c>
      <c r="H225" s="200">
        <f t="shared" si="239"/>
        <v>0.34</v>
      </c>
      <c r="J225" s="1059" t="s">
        <v>50</v>
      </c>
      <c r="K225" s="200">
        <v>1</v>
      </c>
      <c r="L225" s="200">
        <f t="shared" ref="L225:Q225" si="240">B29</f>
        <v>0.1</v>
      </c>
      <c r="M225" s="200">
        <f t="shared" si="240"/>
        <v>1E-3</v>
      </c>
      <c r="N225" s="200">
        <f t="shared" si="240"/>
        <v>-1E-3</v>
      </c>
      <c r="O225" s="200">
        <f t="shared" si="240"/>
        <v>2E-3</v>
      </c>
      <c r="P225" s="200">
        <f t="shared" si="240"/>
        <v>1.5E-3</v>
      </c>
      <c r="Q225" s="200">
        <f t="shared" si="240"/>
        <v>1.2000000000000001E-3</v>
      </c>
    </row>
    <row r="226" spans="1:17" x14ac:dyDescent="0.25">
      <c r="A226" s="1059"/>
      <c r="B226" s="200">
        <v>2</v>
      </c>
      <c r="C226" s="200">
        <f t="shared" ref="C226:H226" si="241">I23</f>
        <v>20</v>
      </c>
      <c r="D226" s="200">
        <f t="shared" si="241"/>
        <v>0.1</v>
      </c>
      <c r="E226" s="200">
        <f t="shared" si="241"/>
        <v>0.2</v>
      </c>
      <c r="F226" s="200">
        <f t="shared" si="241"/>
        <v>0.1</v>
      </c>
      <c r="G226" s="200">
        <f t="shared" si="241"/>
        <v>0.05</v>
      </c>
      <c r="H226" s="200">
        <f t="shared" si="241"/>
        <v>0.34</v>
      </c>
      <c r="J226" s="1059"/>
      <c r="K226" s="200">
        <v>2</v>
      </c>
      <c r="L226" s="200">
        <f t="shared" ref="L226:Q226" si="242">I29</f>
        <v>0.1</v>
      </c>
      <c r="M226" s="200">
        <f t="shared" si="242"/>
        <v>5.0000000000000001E-3</v>
      </c>
      <c r="N226" s="200">
        <f t="shared" si="242"/>
        <v>6.0000000000000001E-3</v>
      </c>
      <c r="O226" s="200">
        <f t="shared" si="242"/>
        <v>5.0000000000000001E-3</v>
      </c>
      <c r="P226" s="200">
        <f t="shared" si="242"/>
        <v>5.0000000000000001E-4</v>
      </c>
      <c r="Q226" s="200">
        <f t="shared" si="242"/>
        <v>1.2000000000000001E-3</v>
      </c>
    </row>
    <row r="227" spans="1:17" x14ac:dyDescent="0.25">
      <c r="A227" s="1059"/>
      <c r="B227" s="200">
        <v>3</v>
      </c>
      <c r="C227" s="200">
        <f t="shared" ref="C227:H227" si="243">P23</f>
        <v>10</v>
      </c>
      <c r="D227" s="200">
        <f t="shared" si="243"/>
        <v>9.9999999999999995E-7</v>
      </c>
      <c r="E227" s="200">
        <f t="shared" si="243"/>
        <v>9.9999999999999995E-7</v>
      </c>
      <c r="F227" s="200">
        <f t="shared" si="243"/>
        <v>9.9999999999999995E-7</v>
      </c>
      <c r="G227" s="200">
        <f t="shared" si="243"/>
        <v>9.9999999999999995E-7</v>
      </c>
      <c r="H227" s="200">
        <f t="shared" si="243"/>
        <v>0.17</v>
      </c>
      <c r="J227" s="1059"/>
      <c r="K227" s="200">
        <v>3</v>
      </c>
      <c r="L227" s="200">
        <f t="shared" ref="L227:Q227" si="244">P29</f>
        <v>0.5</v>
      </c>
      <c r="M227" s="200">
        <f t="shared" si="244"/>
        <v>-2E-3</v>
      </c>
      <c r="N227" s="200">
        <f t="shared" si="244"/>
        <v>-1E-3</v>
      </c>
      <c r="O227" s="200">
        <f t="shared" si="244"/>
        <v>9.9999999999999995E-7</v>
      </c>
      <c r="P227" s="200">
        <f t="shared" si="244"/>
        <v>1.0005000000000001E-3</v>
      </c>
      <c r="Q227" s="200">
        <f t="shared" si="244"/>
        <v>6.0000000000000001E-3</v>
      </c>
    </row>
    <row r="228" spans="1:17" x14ac:dyDescent="0.25">
      <c r="A228" s="1059"/>
      <c r="B228" s="200">
        <v>4</v>
      </c>
      <c r="C228" s="200">
        <f t="shared" ref="C228:H228" si="245">B54</f>
        <v>20</v>
      </c>
      <c r="D228" s="200">
        <f t="shared" si="245"/>
        <v>0.1</v>
      </c>
      <c r="E228" s="200">
        <f t="shared" si="245"/>
        <v>0.1</v>
      </c>
      <c r="F228" s="200">
        <f t="shared" si="245"/>
        <v>0.2</v>
      </c>
      <c r="G228" s="200">
        <f t="shared" si="245"/>
        <v>0.05</v>
      </c>
      <c r="H228" s="200">
        <f t="shared" si="245"/>
        <v>0.34</v>
      </c>
      <c r="J228" s="1059"/>
      <c r="K228" s="200">
        <v>4</v>
      </c>
      <c r="L228" s="200">
        <f t="shared" ref="L228:Q228" si="246">B60</f>
        <v>0.1</v>
      </c>
      <c r="M228" s="200">
        <f t="shared" si="246"/>
        <v>9.9999999999999995E-7</v>
      </c>
      <c r="N228" s="200">
        <f t="shared" si="246"/>
        <v>-2E-3</v>
      </c>
      <c r="O228" s="200">
        <f t="shared" si="246"/>
        <v>9.9999999999999995E-7</v>
      </c>
      <c r="P228" s="200">
        <f t="shared" si="246"/>
        <v>1.0005000000000001E-3</v>
      </c>
      <c r="Q228" s="200">
        <f t="shared" si="246"/>
        <v>1.2000000000000001E-3</v>
      </c>
    </row>
    <row r="229" spans="1:17" x14ac:dyDescent="0.25">
      <c r="A229" s="1059"/>
      <c r="B229" s="200">
        <v>5</v>
      </c>
      <c r="C229" s="200">
        <f t="shared" ref="C229:H229" si="247">I54</f>
        <v>20</v>
      </c>
      <c r="D229" s="200">
        <f t="shared" si="247"/>
        <v>0.1</v>
      </c>
      <c r="E229" s="200">
        <f t="shared" si="247"/>
        <v>0.1</v>
      </c>
      <c r="F229" s="200">
        <f t="shared" si="247"/>
        <v>0.1</v>
      </c>
      <c r="G229" s="200">
        <f t="shared" si="247"/>
        <v>0</v>
      </c>
      <c r="H229" s="200">
        <f t="shared" si="247"/>
        <v>0.34</v>
      </c>
      <c r="J229" s="1059"/>
      <c r="K229" s="200">
        <v>5</v>
      </c>
      <c r="L229" s="200">
        <f t="shared" ref="L229:Q229" si="248">I60</f>
        <v>0.1</v>
      </c>
      <c r="M229" s="200">
        <f t="shared" si="248"/>
        <v>-6.0000000000000001E-3</v>
      </c>
      <c r="N229" s="200">
        <f t="shared" si="248"/>
        <v>5.0000000000000001E-3</v>
      </c>
      <c r="O229" s="200">
        <f t="shared" si="248"/>
        <v>2E-3</v>
      </c>
      <c r="P229" s="200">
        <f t="shared" si="248"/>
        <v>5.4999999999999997E-3</v>
      </c>
      <c r="Q229" s="200">
        <f t="shared" si="248"/>
        <v>1.2000000000000001E-3</v>
      </c>
    </row>
    <row r="230" spans="1:17" x14ac:dyDescent="0.25">
      <c r="A230" s="1059"/>
      <c r="B230" s="200">
        <v>6</v>
      </c>
      <c r="C230" s="200">
        <f t="shared" ref="C230:H230" si="249">P54</f>
        <v>20</v>
      </c>
      <c r="D230" s="200">
        <f t="shared" si="249"/>
        <v>0.1</v>
      </c>
      <c r="E230" s="200">
        <f t="shared" si="249"/>
        <v>0.1</v>
      </c>
      <c r="F230" s="200">
        <f t="shared" si="249"/>
        <v>9.9999999999999995E-7</v>
      </c>
      <c r="G230" s="200">
        <f t="shared" si="249"/>
        <v>4.9999500000000002E-2</v>
      </c>
      <c r="H230" s="200">
        <f t="shared" si="249"/>
        <v>0.34</v>
      </c>
      <c r="J230" s="1059"/>
      <c r="K230" s="200">
        <v>6</v>
      </c>
      <c r="L230" s="200">
        <f t="shared" ref="L230:Q230" si="250">P60</f>
        <v>0.1</v>
      </c>
      <c r="M230" s="200">
        <f t="shared" si="250"/>
        <v>-3.0000000000000001E-3</v>
      </c>
      <c r="N230" s="200">
        <f t="shared" si="250"/>
        <v>-2E-3</v>
      </c>
      <c r="O230" s="200">
        <f t="shared" si="250"/>
        <v>6.0000000000000001E-3</v>
      </c>
      <c r="P230" s="200">
        <f t="shared" si="250"/>
        <v>4.5000000000000005E-3</v>
      </c>
      <c r="Q230" s="200">
        <f t="shared" si="250"/>
        <v>1.2000000000000001E-3</v>
      </c>
    </row>
    <row r="231" spans="1:17" x14ac:dyDescent="0.25">
      <c r="A231" s="1059"/>
      <c r="B231" s="200">
        <v>7</v>
      </c>
      <c r="C231" s="200">
        <f t="shared" ref="C231:H231" si="251">B85</f>
        <v>20</v>
      </c>
      <c r="D231" s="200">
        <f t="shared" si="251"/>
        <v>0.1</v>
      </c>
      <c r="E231" s="200">
        <f t="shared" si="251"/>
        <v>9.9999999999999995E-7</v>
      </c>
      <c r="F231" s="200">
        <f t="shared" si="251"/>
        <v>0.1</v>
      </c>
      <c r="G231" s="200">
        <f t="shared" si="251"/>
        <v>4.9999500000000002E-2</v>
      </c>
      <c r="H231" s="200">
        <f t="shared" si="251"/>
        <v>0.34</v>
      </c>
      <c r="J231" s="1059"/>
      <c r="K231" s="200">
        <v>7</v>
      </c>
      <c r="L231" s="200">
        <f t="shared" ref="L231:Q231" si="252">B91</f>
        <v>0.5</v>
      </c>
      <c r="M231" s="200">
        <f t="shared" si="252"/>
        <v>3.0000000000000001E-3</v>
      </c>
      <c r="N231" s="200">
        <f t="shared" si="252"/>
        <v>9.9999999999999995E-7</v>
      </c>
      <c r="O231" s="200">
        <f t="shared" si="252"/>
        <v>1E-3</v>
      </c>
      <c r="P231" s="200">
        <f t="shared" si="252"/>
        <v>1.4995E-3</v>
      </c>
      <c r="Q231" s="200">
        <f t="shared" si="252"/>
        <v>6.0000000000000001E-3</v>
      </c>
    </row>
    <row r="232" spans="1:17" x14ac:dyDescent="0.25">
      <c r="A232" s="1059"/>
      <c r="B232" s="200">
        <v>8</v>
      </c>
      <c r="C232" s="200">
        <f t="shared" ref="C232:H232" si="253">I85</f>
        <v>20</v>
      </c>
      <c r="D232" s="200">
        <f t="shared" si="253"/>
        <v>9.9999999999999995E-7</v>
      </c>
      <c r="E232" s="200">
        <f t="shared" si="253"/>
        <v>9.9999999999999995E-7</v>
      </c>
      <c r="F232" s="200" t="str">
        <f t="shared" si="253"/>
        <v>-</v>
      </c>
      <c r="G232" s="200">
        <f t="shared" si="253"/>
        <v>9.9999999999999995E-7</v>
      </c>
      <c r="H232" s="200">
        <f t="shared" si="253"/>
        <v>0.34</v>
      </c>
      <c r="J232" s="1059"/>
      <c r="K232" s="200">
        <v>8</v>
      </c>
      <c r="L232" s="200">
        <f t="shared" ref="L232:Q232" si="254">I91</f>
        <v>0.5</v>
      </c>
      <c r="M232" s="200">
        <f t="shared" si="254"/>
        <v>4.0000000000000001E-3</v>
      </c>
      <c r="N232" s="200">
        <f t="shared" si="254"/>
        <v>-3.0000000000000001E-3</v>
      </c>
      <c r="O232" s="200" t="str">
        <f t="shared" si="254"/>
        <v>-</v>
      </c>
      <c r="P232" s="200">
        <f t="shared" si="254"/>
        <v>3.5000000000000001E-3</v>
      </c>
      <c r="Q232" s="200">
        <f t="shared" si="254"/>
        <v>6.0000000000000001E-3</v>
      </c>
    </row>
    <row r="233" spans="1:17" x14ac:dyDescent="0.25">
      <c r="A233" s="1059"/>
      <c r="B233" s="200">
        <v>9</v>
      </c>
      <c r="C233" s="200">
        <f t="shared" ref="C233:H233" si="255">P85</f>
        <v>20</v>
      </c>
      <c r="D233" s="200">
        <f t="shared" si="255"/>
        <v>9.9999999999999995E-7</v>
      </c>
      <c r="E233" s="200">
        <f t="shared" si="255"/>
        <v>9.9999999999999995E-7</v>
      </c>
      <c r="F233" s="200" t="str">
        <f t="shared" si="255"/>
        <v>-</v>
      </c>
      <c r="G233" s="200">
        <f t="shared" si="255"/>
        <v>9.9999999999999995E-7</v>
      </c>
      <c r="H233" s="200">
        <f t="shared" si="255"/>
        <v>0.34</v>
      </c>
      <c r="J233" s="1059"/>
      <c r="K233" s="200">
        <v>9</v>
      </c>
      <c r="L233" s="200">
        <f t="shared" ref="L233:Q233" si="256">P91</f>
        <v>0.10199999999999999</v>
      </c>
      <c r="M233" s="200">
        <f t="shared" si="256"/>
        <v>1E-3</v>
      </c>
      <c r="N233" s="200">
        <f t="shared" si="256"/>
        <v>-2E-3</v>
      </c>
      <c r="O233" s="200" t="str">
        <f t="shared" si="256"/>
        <v>-</v>
      </c>
      <c r="P233" s="200">
        <f t="shared" si="256"/>
        <v>1.5E-3</v>
      </c>
      <c r="Q233" s="200">
        <f t="shared" si="256"/>
        <v>1.224E-3</v>
      </c>
    </row>
    <row r="234" spans="1:17" x14ac:dyDescent="0.25">
      <c r="A234" s="1059"/>
      <c r="B234" s="200">
        <v>10</v>
      </c>
      <c r="C234" s="200">
        <f>B116</f>
        <v>20</v>
      </c>
      <c r="D234" s="200">
        <f t="shared" ref="D234:F234" si="257">C116</f>
        <v>0.1</v>
      </c>
      <c r="E234" s="200" t="str">
        <f t="shared" si="257"/>
        <v>-</v>
      </c>
      <c r="F234" s="200" t="str">
        <f t="shared" si="257"/>
        <v>-</v>
      </c>
      <c r="G234" s="200">
        <f>F116</f>
        <v>0</v>
      </c>
      <c r="H234" s="200" t="str">
        <f>G116</f>
        <v>-</v>
      </c>
      <c r="J234" s="1059"/>
      <c r="K234" s="200">
        <v>10</v>
      </c>
      <c r="L234" s="200">
        <f t="shared" ref="L234:Q234" si="258">B122</f>
        <v>0.1</v>
      </c>
      <c r="M234" s="200">
        <f t="shared" si="258"/>
        <v>-2E-3</v>
      </c>
      <c r="N234" s="200" t="str">
        <f t="shared" si="258"/>
        <v>-</v>
      </c>
      <c r="O234" s="200" t="str">
        <f t="shared" si="258"/>
        <v>-</v>
      </c>
      <c r="P234" s="200">
        <f t="shared" si="258"/>
        <v>0</v>
      </c>
      <c r="Q234" s="200" t="str">
        <f t="shared" si="258"/>
        <v>-</v>
      </c>
    </row>
    <row r="235" spans="1:17" x14ac:dyDescent="0.25">
      <c r="A235" s="1059"/>
      <c r="B235" s="200">
        <v>11</v>
      </c>
      <c r="C235" s="200">
        <f>I116</f>
        <v>20</v>
      </c>
      <c r="D235" s="200">
        <f t="shared" ref="D235:F235" si="259">J116</f>
        <v>9.9999999999999995E-7</v>
      </c>
      <c r="E235" s="200" t="str">
        <f t="shared" si="259"/>
        <v>-</v>
      </c>
      <c r="F235" s="200" t="str">
        <f t="shared" si="259"/>
        <v>-</v>
      </c>
      <c r="G235" s="200">
        <f>M116</f>
        <v>0</v>
      </c>
      <c r="H235" s="200" t="str">
        <f>N116</f>
        <v>-</v>
      </c>
      <c r="J235" s="1059"/>
      <c r="K235" s="200">
        <v>11</v>
      </c>
      <c r="L235" s="200">
        <f t="shared" ref="L235:Q235" si="260">I122</f>
        <v>0.1</v>
      </c>
      <c r="M235" s="200">
        <f t="shared" si="260"/>
        <v>9.9999999999999995E-7</v>
      </c>
      <c r="N235" s="200" t="str">
        <f t="shared" si="260"/>
        <v>-</v>
      </c>
      <c r="O235" s="200" t="str">
        <f t="shared" si="260"/>
        <v>-</v>
      </c>
      <c r="P235" s="200">
        <f t="shared" si="260"/>
        <v>0</v>
      </c>
      <c r="Q235" s="200" t="str">
        <f t="shared" si="260"/>
        <v>-</v>
      </c>
    </row>
    <row r="236" spans="1:17" x14ac:dyDescent="0.25">
      <c r="A236" s="1059"/>
      <c r="B236" s="200">
        <v>12</v>
      </c>
      <c r="C236" s="200">
        <f>P116</f>
        <v>20</v>
      </c>
      <c r="D236" s="200">
        <f t="shared" ref="D236:F236" si="261">Q116</f>
        <v>9.9999999999999995E-7</v>
      </c>
      <c r="E236" s="200" t="str">
        <f t="shared" si="261"/>
        <v>-</v>
      </c>
      <c r="F236" s="200" t="str">
        <f t="shared" si="261"/>
        <v>-</v>
      </c>
      <c r="G236" s="200">
        <f>T116</f>
        <v>0</v>
      </c>
      <c r="H236" s="200" t="str">
        <f>U116</f>
        <v>-</v>
      </c>
      <c r="J236" s="1059"/>
      <c r="K236" s="200">
        <v>12</v>
      </c>
      <c r="L236" s="200">
        <f t="shared" ref="L236:Q236" si="262">P122</f>
        <v>0.1</v>
      </c>
      <c r="M236" s="200">
        <f t="shared" si="262"/>
        <v>9.9999999999999995E-7</v>
      </c>
      <c r="N236" s="200" t="str">
        <f t="shared" si="262"/>
        <v>-</v>
      </c>
      <c r="O236" s="200" t="str">
        <f t="shared" si="262"/>
        <v>-</v>
      </c>
      <c r="P236" s="200">
        <f t="shared" si="262"/>
        <v>0</v>
      </c>
      <c r="Q236" s="200" t="str">
        <f t="shared" si="262"/>
        <v>-</v>
      </c>
    </row>
    <row r="237" spans="1:17" s="65" customFormat="1" x14ac:dyDescent="0.25">
      <c r="A237" s="472"/>
      <c r="B237" s="203"/>
      <c r="C237" s="203"/>
      <c r="D237" s="203"/>
      <c r="E237" s="203"/>
      <c r="F237" s="475"/>
      <c r="G237" s="203"/>
      <c r="H237" s="203"/>
      <c r="J237" s="472"/>
      <c r="K237" s="203"/>
      <c r="L237" s="203"/>
      <c r="M237" s="203"/>
      <c r="N237" s="203"/>
      <c r="O237" s="475"/>
      <c r="P237" s="203"/>
      <c r="Q237" s="203"/>
    </row>
    <row r="238" spans="1:17" x14ac:dyDescent="0.25">
      <c r="A238" s="1059" t="s">
        <v>51</v>
      </c>
      <c r="B238" s="200">
        <v>1</v>
      </c>
      <c r="C238" s="200">
        <f t="shared" ref="C238:H238" si="263">B24</f>
        <v>50</v>
      </c>
      <c r="D238" s="200">
        <f t="shared" si="263"/>
        <v>0.3</v>
      </c>
      <c r="E238" s="200">
        <f t="shared" si="263"/>
        <v>9.9999999999999995E-7</v>
      </c>
      <c r="F238" s="200">
        <f t="shared" si="263"/>
        <v>9.9999999999999995E-7</v>
      </c>
      <c r="G238" s="200">
        <f t="shared" si="263"/>
        <v>0.14999950000000001</v>
      </c>
      <c r="H238" s="200">
        <f t="shared" si="263"/>
        <v>0.85000000000000009</v>
      </c>
      <c r="J238" s="1059" t="s">
        <v>51</v>
      </c>
      <c r="K238" s="200">
        <v>1</v>
      </c>
      <c r="L238" s="200">
        <f t="shared" ref="L238:Q238" si="264">B30</f>
        <v>1</v>
      </c>
      <c r="M238" s="200">
        <f t="shared" si="264"/>
        <v>4.0000000000000001E-3</v>
      </c>
      <c r="N238" s="200">
        <f t="shared" si="264"/>
        <v>4.0000000000000001E-3</v>
      </c>
      <c r="O238" s="200">
        <f t="shared" si="264"/>
        <v>1.2E-2</v>
      </c>
      <c r="P238" s="200">
        <f t="shared" si="264"/>
        <v>4.0000000000000001E-3</v>
      </c>
      <c r="Q238" s="200">
        <f t="shared" si="264"/>
        <v>1.2E-2</v>
      </c>
    </row>
    <row r="239" spans="1:17" x14ac:dyDescent="0.25">
      <c r="A239" s="1059"/>
      <c r="B239" s="200">
        <v>2</v>
      </c>
      <c r="C239" s="200">
        <f t="shared" ref="C239:H239" si="265">I24</f>
        <v>50</v>
      </c>
      <c r="D239" s="200">
        <f t="shared" si="265"/>
        <v>0.2</v>
      </c>
      <c r="E239" s="200">
        <f t="shared" si="265"/>
        <v>0.3</v>
      </c>
      <c r="F239" s="200">
        <f t="shared" si="265"/>
        <v>0.1</v>
      </c>
      <c r="G239" s="200">
        <f t="shared" si="265"/>
        <v>9.9999999999999992E-2</v>
      </c>
      <c r="H239" s="200">
        <f t="shared" si="265"/>
        <v>0.85000000000000009</v>
      </c>
      <c r="J239" s="1059"/>
      <c r="K239" s="200">
        <v>2</v>
      </c>
      <c r="L239" s="200">
        <f t="shared" ref="L239:Q239" si="266">I30</f>
        <v>1</v>
      </c>
      <c r="M239" s="200">
        <f t="shared" si="266"/>
        <v>5.8000000000000003E-2</v>
      </c>
      <c r="N239" s="200">
        <f t="shared" si="266"/>
        <v>4.4999999999999998E-2</v>
      </c>
      <c r="O239" s="200">
        <f t="shared" si="266"/>
        <v>5.5E-2</v>
      </c>
      <c r="P239" s="200">
        <f t="shared" si="266"/>
        <v>6.5000000000000023E-3</v>
      </c>
      <c r="Q239" s="200">
        <f t="shared" si="266"/>
        <v>1.2E-2</v>
      </c>
    </row>
    <row r="240" spans="1:17" x14ac:dyDescent="0.25">
      <c r="A240" s="1059"/>
      <c r="B240" s="200">
        <v>3</v>
      </c>
      <c r="C240" s="200">
        <f t="shared" ref="C240:H240" si="267">P24</f>
        <v>20</v>
      </c>
      <c r="D240" s="200">
        <f t="shared" si="267"/>
        <v>9.9999999999999995E-7</v>
      </c>
      <c r="E240" s="200">
        <f t="shared" si="267"/>
        <v>0.4</v>
      </c>
      <c r="F240" s="200">
        <f t="shared" si="267"/>
        <v>0.3</v>
      </c>
      <c r="G240" s="200">
        <f t="shared" si="267"/>
        <v>0.19999950000000002</v>
      </c>
      <c r="H240" s="200">
        <f t="shared" si="267"/>
        <v>0.34</v>
      </c>
      <c r="J240" s="1059"/>
      <c r="K240" s="200">
        <v>3</v>
      </c>
      <c r="L240" s="200">
        <f t="shared" ref="L240:Q240" si="268">P30</f>
        <v>1</v>
      </c>
      <c r="M240" s="200">
        <f t="shared" si="268"/>
        <v>-1.2E-2</v>
      </c>
      <c r="N240" s="200">
        <f t="shared" si="268"/>
        <v>5.0000000000000001E-3</v>
      </c>
      <c r="O240" s="200">
        <f t="shared" si="268"/>
        <v>9.9999999999999995E-7</v>
      </c>
      <c r="P240" s="200">
        <f t="shared" si="268"/>
        <v>8.5000000000000006E-3</v>
      </c>
      <c r="Q240" s="200">
        <f t="shared" si="268"/>
        <v>1.2E-2</v>
      </c>
    </row>
    <row r="241" spans="1:17" x14ac:dyDescent="0.25">
      <c r="A241" s="1059"/>
      <c r="B241" s="200">
        <v>4</v>
      </c>
      <c r="C241" s="200">
        <f t="shared" ref="C241:H241" si="269">B55</f>
        <v>50</v>
      </c>
      <c r="D241" s="200">
        <f t="shared" si="269"/>
        <v>0.4</v>
      </c>
      <c r="E241" s="200">
        <f t="shared" si="269"/>
        <v>0.4</v>
      </c>
      <c r="F241" s="200">
        <f t="shared" si="269"/>
        <v>0.5</v>
      </c>
      <c r="G241" s="200">
        <f t="shared" si="269"/>
        <v>4.9999999999999989E-2</v>
      </c>
      <c r="H241" s="200">
        <f t="shared" si="269"/>
        <v>0.85000000000000009</v>
      </c>
      <c r="J241" s="1059"/>
      <c r="K241" s="200">
        <v>4</v>
      </c>
      <c r="L241" s="200">
        <f t="shared" ref="L241:Q241" si="270">B61</f>
        <v>1</v>
      </c>
      <c r="M241" s="200">
        <f t="shared" si="270"/>
        <v>-2E-3</v>
      </c>
      <c r="N241" s="200">
        <f t="shared" si="270"/>
        <v>-8.0000000000000002E-3</v>
      </c>
      <c r="O241" s="200">
        <f t="shared" si="270"/>
        <v>-1E-3</v>
      </c>
      <c r="P241" s="200">
        <f t="shared" si="270"/>
        <v>3.5000000000000001E-3</v>
      </c>
      <c r="Q241" s="200">
        <f t="shared" si="270"/>
        <v>1.2E-2</v>
      </c>
    </row>
    <row r="242" spans="1:17" x14ac:dyDescent="0.25">
      <c r="A242" s="1059"/>
      <c r="B242" s="200">
        <v>5</v>
      </c>
      <c r="C242" s="200">
        <f t="shared" ref="C242:H242" si="271">I55</f>
        <v>50</v>
      </c>
      <c r="D242" s="200">
        <f t="shared" si="271"/>
        <v>0.3</v>
      </c>
      <c r="E242" s="200">
        <f t="shared" si="271"/>
        <v>0.6</v>
      </c>
      <c r="F242" s="200">
        <f t="shared" si="271"/>
        <v>0.4</v>
      </c>
      <c r="G242" s="200">
        <f t="shared" si="271"/>
        <v>0.15</v>
      </c>
      <c r="H242" s="200">
        <f t="shared" si="271"/>
        <v>0.85000000000000009</v>
      </c>
      <c r="J242" s="1059"/>
      <c r="K242" s="200">
        <v>5</v>
      </c>
      <c r="L242" s="200">
        <f t="shared" ref="L242:Q242" si="272">I61</f>
        <v>1</v>
      </c>
      <c r="M242" s="200">
        <f t="shared" si="272"/>
        <v>-2E-3</v>
      </c>
      <c r="N242" s="200">
        <f t="shared" si="272"/>
        <v>1.7999999999999999E-2</v>
      </c>
      <c r="O242" s="200">
        <f t="shared" si="272"/>
        <v>1.2E-2</v>
      </c>
      <c r="P242" s="200">
        <f t="shared" si="272"/>
        <v>9.9999999999999985E-3</v>
      </c>
      <c r="Q242" s="200">
        <f t="shared" si="272"/>
        <v>1.2E-2</v>
      </c>
    </row>
    <row r="243" spans="1:17" x14ac:dyDescent="0.25">
      <c r="A243" s="1059"/>
      <c r="B243" s="200">
        <v>6</v>
      </c>
      <c r="C243" s="200">
        <f t="shared" ref="C243:H243" si="273">P55</f>
        <v>50</v>
      </c>
      <c r="D243" s="200">
        <f t="shared" si="273"/>
        <v>0.3</v>
      </c>
      <c r="E243" s="200">
        <f t="shared" si="273"/>
        <v>0.3</v>
      </c>
      <c r="F243" s="200">
        <f t="shared" si="273"/>
        <v>0.2</v>
      </c>
      <c r="G243" s="200">
        <f t="shared" si="273"/>
        <v>4.9999999999999989E-2</v>
      </c>
      <c r="H243" s="200">
        <f t="shared" si="273"/>
        <v>0.85000000000000009</v>
      </c>
      <c r="J243" s="1059"/>
      <c r="K243" s="200">
        <v>6</v>
      </c>
      <c r="L243" s="200">
        <f t="shared" ref="L243:Q243" si="274">P61</f>
        <v>1</v>
      </c>
      <c r="M243" s="200">
        <f t="shared" si="274"/>
        <v>-7.0000000000000001E-3</v>
      </c>
      <c r="N243" s="200">
        <f t="shared" si="274"/>
        <v>-1E-3</v>
      </c>
      <c r="O243" s="200">
        <f t="shared" si="274"/>
        <v>8.0000000000000002E-3</v>
      </c>
      <c r="P243" s="200">
        <f t="shared" si="274"/>
        <v>7.4999999999999997E-3</v>
      </c>
      <c r="Q243" s="200">
        <f t="shared" si="274"/>
        <v>1.2E-2</v>
      </c>
    </row>
    <row r="244" spans="1:17" x14ac:dyDescent="0.25">
      <c r="A244" s="1059"/>
      <c r="B244" s="200">
        <v>7</v>
      </c>
      <c r="C244" s="200">
        <f t="shared" ref="C244:H244" si="275">B86</f>
        <v>50</v>
      </c>
      <c r="D244" s="200">
        <f t="shared" si="275"/>
        <v>0.5</v>
      </c>
      <c r="E244" s="200">
        <f t="shared" si="275"/>
        <v>9.9999999999999995E-7</v>
      </c>
      <c r="F244" s="200">
        <f t="shared" si="275"/>
        <v>0.4</v>
      </c>
      <c r="G244" s="200">
        <f t="shared" si="275"/>
        <v>0.24999950000000001</v>
      </c>
      <c r="H244" s="200">
        <f t="shared" si="275"/>
        <v>0.85000000000000009</v>
      </c>
      <c r="J244" s="1059"/>
      <c r="K244" s="200">
        <v>7</v>
      </c>
      <c r="L244" s="200">
        <f t="shared" ref="L244:Q244" si="276">B92</f>
        <v>1</v>
      </c>
      <c r="M244" s="200">
        <f t="shared" si="276"/>
        <v>2E-3</v>
      </c>
      <c r="N244" s="200">
        <f t="shared" si="276"/>
        <v>-2E-3</v>
      </c>
      <c r="O244" s="200">
        <f t="shared" si="276"/>
        <v>1E-3</v>
      </c>
      <c r="P244" s="200">
        <f t="shared" si="276"/>
        <v>2E-3</v>
      </c>
      <c r="Q244" s="200">
        <f t="shared" si="276"/>
        <v>1.2E-2</v>
      </c>
    </row>
    <row r="245" spans="1:17" x14ac:dyDescent="0.25">
      <c r="A245" s="1059"/>
      <c r="B245" s="200">
        <v>8</v>
      </c>
      <c r="C245" s="200">
        <f t="shared" ref="C245:H245" si="277">I86</f>
        <v>50</v>
      </c>
      <c r="D245" s="200">
        <f t="shared" si="277"/>
        <v>0.2</v>
      </c>
      <c r="E245" s="200">
        <f t="shared" si="277"/>
        <v>9.9999999999999995E-7</v>
      </c>
      <c r="F245" s="200" t="str">
        <f t="shared" si="277"/>
        <v>-</v>
      </c>
      <c r="G245" s="200">
        <f t="shared" si="277"/>
        <v>9.9999500000000005E-2</v>
      </c>
      <c r="H245" s="200">
        <f t="shared" si="277"/>
        <v>0.85000000000000009</v>
      </c>
      <c r="J245" s="1059"/>
      <c r="K245" s="200">
        <v>8</v>
      </c>
      <c r="L245" s="200">
        <f t="shared" ref="L245:Q245" si="278">I92</f>
        <v>1</v>
      </c>
      <c r="M245" s="200">
        <f t="shared" si="278"/>
        <v>5.0000000000000001E-3</v>
      </c>
      <c r="N245" s="200">
        <f t="shared" si="278"/>
        <v>1E-3</v>
      </c>
      <c r="O245" s="200" t="str">
        <f t="shared" si="278"/>
        <v>-</v>
      </c>
      <c r="P245" s="200">
        <f t="shared" si="278"/>
        <v>2E-3</v>
      </c>
      <c r="Q245" s="200">
        <f t="shared" si="278"/>
        <v>1.2E-2</v>
      </c>
    </row>
    <row r="246" spans="1:17" x14ac:dyDescent="0.25">
      <c r="A246" s="1059"/>
      <c r="B246" s="200">
        <v>9</v>
      </c>
      <c r="C246" s="200">
        <f t="shared" ref="C246:H246" si="279">P86</f>
        <v>50</v>
      </c>
      <c r="D246" s="200">
        <f t="shared" si="279"/>
        <v>0.2</v>
      </c>
      <c r="E246" s="200">
        <f t="shared" si="279"/>
        <v>9.9999999999999995E-7</v>
      </c>
      <c r="F246" s="200" t="str">
        <f t="shared" si="279"/>
        <v>-</v>
      </c>
      <c r="G246" s="200">
        <f t="shared" si="279"/>
        <v>9.9999500000000005E-2</v>
      </c>
      <c r="H246" s="200">
        <f t="shared" si="279"/>
        <v>0.85000000000000009</v>
      </c>
      <c r="J246" s="1059"/>
      <c r="K246" s="200">
        <v>9</v>
      </c>
      <c r="L246" s="200">
        <f t="shared" ref="L246:Q246" si="280">P92</f>
        <v>0.5</v>
      </c>
      <c r="M246" s="200">
        <f t="shared" si="280"/>
        <v>4.0000000000000001E-3</v>
      </c>
      <c r="N246" s="200">
        <f t="shared" si="280"/>
        <v>9.9999999999999995E-7</v>
      </c>
      <c r="O246" s="200" t="str">
        <f t="shared" si="280"/>
        <v>-</v>
      </c>
      <c r="P246" s="200">
        <f t="shared" si="280"/>
        <v>1.9995E-3</v>
      </c>
      <c r="Q246" s="200">
        <f t="shared" si="280"/>
        <v>6.0000000000000001E-3</v>
      </c>
    </row>
    <row r="247" spans="1:17" x14ac:dyDescent="0.25">
      <c r="A247" s="1059"/>
      <c r="B247" s="200">
        <v>10</v>
      </c>
      <c r="C247" s="200">
        <f>B117</f>
        <v>50</v>
      </c>
      <c r="D247" s="200">
        <f t="shared" ref="D247:F247" si="281">C117</f>
        <v>0.4</v>
      </c>
      <c r="E247" s="200" t="str">
        <f t="shared" si="281"/>
        <v>-</v>
      </c>
      <c r="F247" s="200" t="str">
        <f t="shared" si="281"/>
        <v>-</v>
      </c>
      <c r="G247" s="200">
        <f>F117</f>
        <v>0</v>
      </c>
      <c r="H247" s="200" t="str">
        <f>G117</f>
        <v>-</v>
      </c>
      <c r="J247" s="1059"/>
      <c r="K247" s="200">
        <v>10</v>
      </c>
      <c r="L247" s="200">
        <f t="shared" ref="L247:Q247" si="282">B123</f>
        <v>1</v>
      </c>
      <c r="M247" s="200">
        <f t="shared" si="282"/>
        <v>-8.0000000000000002E-3</v>
      </c>
      <c r="N247" s="200" t="str">
        <f t="shared" si="282"/>
        <v>-</v>
      </c>
      <c r="O247" s="200" t="str">
        <f t="shared" si="282"/>
        <v>-</v>
      </c>
      <c r="P247" s="200">
        <f t="shared" si="282"/>
        <v>0</v>
      </c>
      <c r="Q247" s="200" t="str">
        <f t="shared" si="282"/>
        <v>-</v>
      </c>
    </row>
    <row r="248" spans="1:17" x14ac:dyDescent="0.25">
      <c r="A248" s="1059"/>
      <c r="B248" s="200">
        <v>11</v>
      </c>
      <c r="C248" s="200">
        <f>I117</f>
        <v>50</v>
      </c>
      <c r="D248" s="200">
        <f t="shared" ref="D248:F248" si="283">J117</f>
        <v>9.9999999999999995E-7</v>
      </c>
      <c r="E248" s="200" t="str">
        <f t="shared" si="283"/>
        <v>-</v>
      </c>
      <c r="F248" s="200" t="str">
        <f t="shared" si="283"/>
        <v>-</v>
      </c>
      <c r="G248" s="200">
        <f>M117</f>
        <v>0</v>
      </c>
      <c r="H248" s="200" t="str">
        <f>N117</f>
        <v>-</v>
      </c>
      <c r="J248" s="1059"/>
      <c r="K248" s="200">
        <v>11</v>
      </c>
      <c r="L248" s="200">
        <f t="shared" ref="L248:Q248" si="284">I123</f>
        <v>1</v>
      </c>
      <c r="M248" s="200">
        <f t="shared" si="284"/>
        <v>9.9999999999999995E-7</v>
      </c>
      <c r="N248" s="200" t="str">
        <f t="shared" si="284"/>
        <v>-</v>
      </c>
      <c r="O248" s="200" t="str">
        <f t="shared" si="284"/>
        <v>-</v>
      </c>
      <c r="P248" s="200">
        <f t="shared" si="284"/>
        <v>0</v>
      </c>
      <c r="Q248" s="200" t="str">
        <f t="shared" si="284"/>
        <v>-</v>
      </c>
    </row>
    <row r="249" spans="1:17" x14ac:dyDescent="0.25">
      <c r="A249" s="1059"/>
      <c r="B249" s="200">
        <v>12</v>
      </c>
      <c r="C249" s="200">
        <f>P117</f>
        <v>50</v>
      </c>
      <c r="D249" s="200">
        <f t="shared" ref="D249:F249" si="285">Q117</f>
        <v>9.9999999999999995E-7</v>
      </c>
      <c r="E249" s="200" t="str">
        <f t="shared" si="285"/>
        <v>-</v>
      </c>
      <c r="F249" s="200" t="str">
        <f t="shared" si="285"/>
        <v>-</v>
      </c>
      <c r="G249" s="200">
        <f>T117</f>
        <v>0</v>
      </c>
      <c r="H249" s="200" t="str">
        <f>U117</f>
        <v>-</v>
      </c>
      <c r="J249" s="1059"/>
      <c r="K249" s="200">
        <v>12</v>
      </c>
      <c r="L249" s="200">
        <f t="shared" ref="L249:Q249" si="286">P123</f>
        <v>1</v>
      </c>
      <c r="M249" s="200">
        <f t="shared" si="286"/>
        <v>9.9999999999999995E-7</v>
      </c>
      <c r="N249" s="200" t="str">
        <f t="shared" si="286"/>
        <v>-</v>
      </c>
      <c r="O249" s="200" t="str">
        <f t="shared" si="286"/>
        <v>-</v>
      </c>
      <c r="P249" s="200">
        <f t="shared" si="286"/>
        <v>0</v>
      </c>
      <c r="Q249" s="200" t="str">
        <f t="shared" si="286"/>
        <v>-</v>
      </c>
    </row>
    <row r="250" spans="1:17" s="65" customFormat="1" x14ac:dyDescent="0.25">
      <c r="A250" s="472"/>
      <c r="B250" s="203"/>
      <c r="C250" s="203"/>
      <c r="D250" s="203"/>
      <c r="E250" s="203"/>
      <c r="F250" s="475"/>
      <c r="G250" s="203"/>
      <c r="H250" s="203"/>
      <c r="J250" s="472"/>
      <c r="K250" s="203"/>
      <c r="L250" s="203"/>
      <c r="M250" s="203"/>
      <c r="N250" s="203"/>
      <c r="O250" s="475"/>
      <c r="P250" s="203"/>
      <c r="Q250" s="203"/>
    </row>
    <row r="251" spans="1:17" x14ac:dyDescent="0.25">
      <c r="A251" s="1059" t="s">
        <v>52</v>
      </c>
      <c r="B251" s="200">
        <v>1</v>
      </c>
      <c r="C251" s="200">
        <f t="shared" ref="C251:H251" si="287">B25</f>
        <v>100</v>
      </c>
      <c r="D251" s="200">
        <f t="shared" si="287"/>
        <v>0.4</v>
      </c>
      <c r="E251" s="200">
        <f t="shared" si="287"/>
        <v>9.9999999999999995E-7</v>
      </c>
      <c r="F251" s="200">
        <f t="shared" si="287"/>
        <v>9.9999999999999995E-7</v>
      </c>
      <c r="G251" s="200">
        <f t="shared" si="287"/>
        <v>0.19999950000000002</v>
      </c>
      <c r="H251" s="200">
        <f t="shared" si="287"/>
        <v>1.7000000000000002</v>
      </c>
      <c r="J251" s="1059" t="s">
        <v>52</v>
      </c>
      <c r="K251" s="200">
        <v>1</v>
      </c>
      <c r="L251" s="200">
        <f t="shared" ref="L251:Q251" si="288">B31</f>
        <v>2</v>
      </c>
      <c r="M251" s="200">
        <f t="shared" si="288"/>
        <v>1.2E-2</v>
      </c>
      <c r="N251" s="200">
        <f t="shared" si="288"/>
        <v>7.0000000000000001E-3</v>
      </c>
      <c r="O251" s="200">
        <f t="shared" si="288"/>
        <v>9.9999999999999995E-7</v>
      </c>
      <c r="P251" s="200">
        <f t="shared" si="288"/>
        <v>5.9995000000000005E-3</v>
      </c>
      <c r="Q251" s="200">
        <f t="shared" si="288"/>
        <v>2.4E-2</v>
      </c>
    </row>
    <row r="252" spans="1:17" x14ac:dyDescent="0.25">
      <c r="A252" s="1059"/>
      <c r="B252" s="200">
        <v>2</v>
      </c>
      <c r="C252" s="200">
        <f t="shared" ref="C252:H252" si="289">I25</f>
        <v>100</v>
      </c>
      <c r="D252" s="200">
        <f t="shared" si="289"/>
        <v>0.2</v>
      </c>
      <c r="E252" s="200">
        <f t="shared" si="289"/>
        <v>0.3</v>
      </c>
      <c r="F252" s="200">
        <f t="shared" si="289"/>
        <v>9.9999999999999995E-7</v>
      </c>
      <c r="G252" s="200">
        <f t="shared" si="289"/>
        <v>0.14999950000000001</v>
      </c>
      <c r="H252" s="200">
        <f t="shared" si="289"/>
        <v>1.7000000000000002</v>
      </c>
      <c r="J252" s="1059"/>
      <c r="K252" s="200">
        <v>2</v>
      </c>
      <c r="L252" s="200">
        <f t="shared" ref="L252:Q252" si="290">I31</f>
        <v>2</v>
      </c>
      <c r="M252" s="200">
        <f t="shared" si="290"/>
        <v>0.113</v>
      </c>
      <c r="N252" s="200">
        <f t="shared" si="290"/>
        <v>9.9999999999999995E-7</v>
      </c>
      <c r="O252" s="200">
        <f t="shared" si="290"/>
        <v>9.9999999999999995E-7</v>
      </c>
      <c r="P252" s="200">
        <f t="shared" si="290"/>
        <v>5.6499500000000001E-2</v>
      </c>
      <c r="Q252" s="200">
        <f t="shared" si="290"/>
        <v>2.4E-2</v>
      </c>
    </row>
    <row r="253" spans="1:17" x14ac:dyDescent="0.25">
      <c r="A253" s="1059"/>
      <c r="B253" s="200">
        <v>3</v>
      </c>
      <c r="C253" s="200">
        <f t="shared" ref="C253:H253" si="291">P25</f>
        <v>50</v>
      </c>
      <c r="D253" s="200">
        <f t="shared" si="291"/>
        <v>0.1</v>
      </c>
      <c r="E253" s="200">
        <f t="shared" si="291"/>
        <v>1.1000000000000001</v>
      </c>
      <c r="F253" s="200">
        <f t="shared" si="291"/>
        <v>0.6</v>
      </c>
      <c r="G253" s="200">
        <f t="shared" si="291"/>
        <v>0.5</v>
      </c>
      <c r="H253" s="200">
        <f t="shared" si="291"/>
        <v>0.85000000000000009</v>
      </c>
      <c r="J253" s="1059"/>
      <c r="K253" s="200">
        <v>3</v>
      </c>
      <c r="L253" s="200">
        <f t="shared" ref="L253:Q253" si="292">P31</f>
        <v>2</v>
      </c>
      <c r="M253" s="200">
        <f t="shared" si="292"/>
        <v>-8.0000000000000002E-3</v>
      </c>
      <c r="N253" s="200">
        <f t="shared" si="292"/>
        <v>1.4E-2</v>
      </c>
      <c r="O253" s="200">
        <f t="shared" si="292"/>
        <v>9.9999999999999995E-7</v>
      </c>
      <c r="P253" s="200">
        <f t="shared" si="292"/>
        <v>1.0999999999999999E-2</v>
      </c>
      <c r="Q253" s="200">
        <f t="shared" si="292"/>
        <v>2.4E-2</v>
      </c>
    </row>
    <row r="254" spans="1:17" x14ac:dyDescent="0.25">
      <c r="A254" s="1059"/>
      <c r="B254" s="200">
        <v>4</v>
      </c>
      <c r="C254" s="200">
        <f t="shared" ref="C254:H254" si="293">B56</f>
        <v>100</v>
      </c>
      <c r="D254" s="200">
        <f t="shared" si="293"/>
        <v>0.8</v>
      </c>
      <c r="E254" s="200">
        <f t="shared" si="293"/>
        <v>1.4</v>
      </c>
      <c r="F254" s="200">
        <f t="shared" si="293"/>
        <v>1</v>
      </c>
      <c r="G254" s="200">
        <f t="shared" si="293"/>
        <v>0.29999999999999993</v>
      </c>
      <c r="H254" s="200">
        <f t="shared" si="293"/>
        <v>1.7000000000000002</v>
      </c>
      <c r="J254" s="1059"/>
      <c r="K254" s="200">
        <v>4</v>
      </c>
      <c r="L254" s="200">
        <f t="shared" ref="L254:Q254" si="294">B62</f>
        <v>2</v>
      </c>
      <c r="M254" s="200">
        <f t="shared" si="294"/>
        <v>-6.0000000000000001E-3</v>
      </c>
      <c r="N254" s="200">
        <f t="shared" si="294"/>
        <v>-7.0000000000000001E-3</v>
      </c>
      <c r="O254" s="200">
        <f t="shared" si="294"/>
        <v>9.9999999999999995E-7</v>
      </c>
      <c r="P254" s="200">
        <f t="shared" si="294"/>
        <v>3.5005000000000001E-3</v>
      </c>
      <c r="Q254" s="200">
        <f t="shared" si="294"/>
        <v>2.4E-2</v>
      </c>
    </row>
    <row r="255" spans="1:17" x14ac:dyDescent="0.25">
      <c r="A255" s="1059"/>
      <c r="B255" s="200">
        <v>5</v>
      </c>
      <c r="C255" s="200">
        <f t="shared" ref="C255:H255" si="295">I56</f>
        <v>100</v>
      </c>
      <c r="D255" s="200">
        <f t="shared" si="295"/>
        <v>0.4</v>
      </c>
      <c r="E255" s="200">
        <f t="shared" si="295"/>
        <v>1.5</v>
      </c>
      <c r="F255" s="200">
        <f t="shared" si="295"/>
        <v>0.8</v>
      </c>
      <c r="G255" s="200">
        <f t="shared" si="295"/>
        <v>0.55000000000000004</v>
      </c>
      <c r="H255" s="200">
        <f t="shared" si="295"/>
        <v>1.7000000000000002</v>
      </c>
      <c r="J255" s="1059"/>
      <c r="K255" s="200">
        <v>5</v>
      </c>
      <c r="L255" s="200">
        <f t="shared" ref="L255:Q255" si="296">I62</f>
        <v>2</v>
      </c>
      <c r="M255" s="200">
        <f t="shared" si="296"/>
        <v>-4.0000000000000001E-3</v>
      </c>
      <c r="N255" s="200">
        <f t="shared" si="296"/>
        <v>0.113</v>
      </c>
      <c r="O255" s="200">
        <f t="shared" si="296"/>
        <v>9.9999999999999995E-7</v>
      </c>
      <c r="P255" s="200">
        <f t="shared" si="296"/>
        <v>5.8500000000000003E-2</v>
      </c>
      <c r="Q255" s="200">
        <f t="shared" si="296"/>
        <v>2.4E-2</v>
      </c>
    </row>
    <row r="256" spans="1:17" x14ac:dyDescent="0.25">
      <c r="A256" s="1059"/>
      <c r="B256" s="200">
        <v>6</v>
      </c>
      <c r="C256" s="200">
        <f t="shared" ref="C256:H256" si="297">P56</f>
        <v>100</v>
      </c>
      <c r="D256" s="200">
        <f t="shared" si="297"/>
        <v>0.6</v>
      </c>
      <c r="E256" s="200">
        <f t="shared" si="297"/>
        <v>0.6</v>
      </c>
      <c r="F256" s="200">
        <f t="shared" si="297"/>
        <v>0.7</v>
      </c>
      <c r="G256" s="200">
        <f t="shared" si="297"/>
        <v>4.9999999999999989E-2</v>
      </c>
      <c r="H256" s="200">
        <f t="shared" si="297"/>
        <v>1.7000000000000002</v>
      </c>
      <c r="J256" s="1059"/>
      <c r="K256" s="200">
        <v>6</v>
      </c>
      <c r="L256" s="200">
        <f t="shared" ref="L256:Q256" si="298">P62</f>
        <v>2</v>
      </c>
      <c r="M256" s="200">
        <f t="shared" si="298"/>
        <v>-7.0000000000000001E-3</v>
      </c>
      <c r="N256" s="200">
        <f t="shared" si="298"/>
        <v>9.9999999999999995E-7</v>
      </c>
      <c r="O256" s="200">
        <f t="shared" si="298"/>
        <v>9.9999999999999995E-7</v>
      </c>
      <c r="P256" s="200">
        <f t="shared" si="298"/>
        <v>3.5005000000000001E-3</v>
      </c>
      <c r="Q256" s="200">
        <f t="shared" si="298"/>
        <v>2.4E-2</v>
      </c>
    </row>
    <row r="257" spans="1:20" x14ac:dyDescent="0.25">
      <c r="A257" s="1059"/>
      <c r="B257" s="200">
        <v>7</v>
      </c>
      <c r="C257" s="200">
        <f t="shared" ref="C257:H257" si="299">B87</f>
        <v>100</v>
      </c>
      <c r="D257" s="200">
        <f t="shared" si="299"/>
        <v>0.9</v>
      </c>
      <c r="E257" s="200">
        <f t="shared" si="299"/>
        <v>9.9999999999999995E-7</v>
      </c>
      <c r="F257" s="200">
        <f t="shared" si="299"/>
        <v>1.4</v>
      </c>
      <c r="G257" s="200">
        <f t="shared" si="299"/>
        <v>0.6999995</v>
      </c>
      <c r="H257" s="200">
        <f t="shared" si="299"/>
        <v>1.7000000000000002</v>
      </c>
      <c r="J257" s="1059"/>
      <c r="K257" s="200">
        <v>7</v>
      </c>
      <c r="L257" s="200">
        <f t="shared" ref="L257:Q257" si="300">B93</f>
        <v>2</v>
      </c>
      <c r="M257" s="200">
        <f t="shared" si="300"/>
        <v>-1E-3</v>
      </c>
      <c r="N257" s="200">
        <f t="shared" si="300"/>
        <v>9.9999999999999995E-7</v>
      </c>
      <c r="O257" s="200">
        <f t="shared" si="300"/>
        <v>9.9999999999999995E-7</v>
      </c>
      <c r="P257" s="200">
        <f t="shared" si="300"/>
        <v>5.0049999999999997E-4</v>
      </c>
      <c r="Q257" s="200">
        <f t="shared" si="300"/>
        <v>2.4E-2</v>
      </c>
    </row>
    <row r="258" spans="1:20" x14ac:dyDescent="0.25">
      <c r="A258" s="1059"/>
      <c r="B258" s="200">
        <v>8</v>
      </c>
      <c r="C258" s="200">
        <f t="shared" ref="C258:H258" si="301">I87</f>
        <v>100</v>
      </c>
      <c r="D258" s="200">
        <f t="shared" si="301"/>
        <v>0.4</v>
      </c>
      <c r="E258" s="200">
        <f t="shared" si="301"/>
        <v>9.9999999999999995E-7</v>
      </c>
      <c r="F258" s="200" t="str">
        <f t="shared" si="301"/>
        <v>-</v>
      </c>
      <c r="G258" s="200">
        <f t="shared" si="301"/>
        <v>0.19999950000000002</v>
      </c>
      <c r="H258" s="200">
        <f t="shared" si="301"/>
        <v>1.7000000000000002</v>
      </c>
      <c r="J258" s="1059"/>
      <c r="K258" s="200">
        <v>8</v>
      </c>
      <c r="L258" s="200">
        <f t="shared" ref="L258:Q258" si="302">I93</f>
        <v>2</v>
      </c>
      <c r="M258" s="200">
        <f t="shared" si="302"/>
        <v>5.0000000000000001E-3</v>
      </c>
      <c r="N258" s="200">
        <f t="shared" si="302"/>
        <v>-1E-3</v>
      </c>
      <c r="O258" s="200" t="str">
        <f t="shared" si="302"/>
        <v>-</v>
      </c>
      <c r="P258" s="200">
        <f t="shared" si="302"/>
        <v>3.0000000000000001E-3</v>
      </c>
      <c r="Q258" s="200">
        <f t="shared" si="302"/>
        <v>2.4E-2</v>
      </c>
    </row>
    <row r="259" spans="1:20" x14ac:dyDescent="0.25">
      <c r="A259" s="1059"/>
      <c r="B259" s="200">
        <v>9</v>
      </c>
      <c r="C259" s="200">
        <f t="shared" ref="C259:H259" si="303">P87</f>
        <v>100</v>
      </c>
      <c r="D259" s="200">
        <f t="shared" si="303"/>
        <v>0.6</v>
      </c>
      <c r="E259" s="200">
        <f t="shared" si="303"/>
        <v>9.9999999999999995E-7</v>
      </c>
      <c r="F259" s="200" t="str">
        <f t="shared" si="303"/>
        <v>-</v>
      </c>
      <c r="G259" s="200">
        <f t="shared" si="303"/>
        <v>0.29999949999999997</v>
      </c>
      <c r="H259" s="200">
        <f t="shared" si="303"/>
        <v>1.7000000000000002</v>
      </c>
      <c r="J259" s="1059"/>
      <c r="K259" s="200">
        <v>9</v>
      </c>
      <c r="L259" s="200">
        <f t="shared" ref="L259:Q259" si="304">P93</f>
        <v>1</v>
      </c>
      <c r="M259" s="200">
        <f t="shared" si="304"/>
        <v>9.9999999999999995E-7</v>
      </c>
      <c r="N259" s="200">
        <f t="shared" si="304"/>
        <v>-1E-3</v>
      </c>
      <c r="O259" s="200" t="str">
        <f t="shared" si="304"/>
        <v>-</v>
      </c>
      <c r="P259" s="200">
        <f t="shared" si="304"/>
        <v>5.0049999999999997E-4</v>
      </c>
      <c r="Q259" s="200">
        <f t="shared" si="304"/>
        <v>1.2E-2</v>
      </c>
    </row>
    <row r="260" spans="1:20" x14ac:dyDescent="0.25">
      <c r="A260" s="1059"/>
      <c r="B260" s="200">
        <v>10</v>
      </c>
      <c r="C260" s="200">
        <f>B118</f>
        <v>100</v>
      </c>
      <c r="D260" s="200">
        <f t="shared" ref="D260:F260" si="305">C118</f>
        <v>1.4</v>
      </c>
      <c r="E260" s="200" t="str">
        <f t="shared" si="305"/>
        <v>-</v>
      </c>
      <c r="F260" s="200" t="str">
        <f t="shared" si="305"/>
        <v>-</v>
      </c>
      <c r="G260" s="200">
        <f>F118</f>
        <v>0</v>
      </c>
      <c r="H260" s="200" t="str">
        <f>G118</f>
        <v>-</v>
      </c>
      <c r="J260" s="1059"/>
      <c r="K260" s="200">
        <v>10</v>
      </c>
      <c r="L260" s="200">
        <f t="shared" ref="L260:Q260" si="306">B124</f>
        <v>2</v>
      </c>
      <c r="M260" s="200">
        <f t="shared" si="306"/>
        <v>-7.0000000000000001E-3</v>
      </c>
      <c r="N260" s="200" t="str">
        <f t="shared" si="306"/>
        <v>-</v>
      </c>
      <c r="O260" s="200" t="str">
        <f t="shared" si="306"/>
        <v>-</v>
      </c>
      <c r="P260" s="200">
        <f t="shared" si="306"/>
        <v>0</v>
      </c>
      <c r="Q260" s="200" t="str">
        <f t="shared" si="306"/>
        <v>-</v>
      </c>
    </row>
    <row r="261" spans="1:20" x14ac:dyDescent="0.25">
      <c r="A261" s="1059"/>
      <c r="B261" s="200">
        <v>11</v>
      </c>
      <c r="C261" s="200">
        <f>I118</f>
        <v>100</v>
      </c>
      <c r="D261" s="200">
        <f t="shared" ref="D261:F261" si="307">J118</f>
        <v>9.9999999999999995E-7</v>
      </c>
      <c r="E261" s="200" t="str">
        <f t="shared" si="307"/>
        <v>-</v>
      </c>
      <c r="F261" s="200" t="str">
        <f t="shared" si="307"/>
        <v>-</v>
      </c>
      <c r="G261" s="200">
        <f>M118</f>
        <v>0</v>
      </c>
      <c r="H261" s="200" t="str">
        <f>N118</f>
        <v>-</v>
      </c>
      <c r="J261" s="1059"/>
      <c r="K261" s="200">
        <v>11</v>
      </c>
      <c r="L261" s="200">
        <f t="shared" ref="L261:Q261" si="308">I124</f>
        <v>2</v>
      </c>
      <c r="M261" s="200">
        <f t="shared" si="308"/>
        <v>9.9999999999999995E-7</v>
      </c>
      <c r="N261" s="200" t="str">
        <f t="shared" si="308"/>
        <v>-</v>
      </c>
      <c r="O261" s="200" t="str">
        <f t="shared" si="308"/>
        <v>-</v>
      </c>
      <c r="P261" s="200">
        <f t="shared" si="308"/>
        <v>0</v>
      </c>
      <c r="Q261" s="200" t="str">
        <f t="shared" si="308"/>
        <v>-</v>
      </c>
    </row>
    <row r="262" spans="1:20" x14ac:dyDescent="0.25">
      <c r="A262" s="1059"/>
      <c r="B262" s="200">
        <v>12</v>
      </c>
      <c r="C262" s="200">
        <f>P118</f>
        <v>100</v>
      </c>
      <c r="D262" s="200">
        <f t="shared" ref="D262:F262" si="309">Q118</f>
        <v>9.9999999999999995E-7</v>
      </c>
      <c r="E262" s="200" t="str">
        <f t="shared" si="309"/>
        <v>-</v>
      </c>
      <c r="F262" s="200" t="str">
        <f t="shared" si="309"/>
        <v>-</v>
      </c>
      <c r="G262" s="200">
        <f>T118</f>
        <v>0</v>
      </c>
      <c r="H262" s="200" t="str">
        <f>U118</f>
        <v>-</v>
      </c>
      <c r="J262" s="1059"/>
      <c r="K262" s="200">
        <v>12</v>
      </c>
      <c r="L262" s="200">
        <f t="shared" ref="L262:Q262" si="310">P124</f>
        <v>2</v>
      </c>
      <c r="M262" s="200">
        <f t="shared" si="310"/>
        <v>9.9999999999999995E-7</v>
      </c>
      <c r="N262" s="200" t="str">
        <f t="shared" si="310"/>
        <v>-</v>
      </c>
      <c r="O262" s="200" t="str">
        <f t="shared" si="310"/>
        <v>-</v>
      </c>
      <c r="P262" s="200">
        <f t="shared" si="310"/>
        <v>0</v>
      </c>
      <c r="Q262" s="200" t="str">
        <f t="shared" si="310"/>
        <v>-</v>
      </c>
    </row>
    <row r="263" spans="1:20" s="65" customFormat="1" x14ac:dyDescent="0.25">
      <c r="A263" s="161"/>
      <c r="B263" s="167"/>
      <c r="C263" s="167"/>
      <c r="D263" s="167"/>
      <c r="E263" s="167"/>
      <c r="F263" s="167"/>
      <c r="G263" s="167"/>
      <c r="I263" s="161"/>
      <c r="J263" s="167"/>
      <c r="K263" s="167"/>
      <c r="L263" s="167"/>
      <c r="M263" s="167"/>
      <c r="N263" s="167"/>
      <c r="O263" s="167"/>
    </row>
    <row r="264" spans="1:20" ht="13" thickBot="1" x14ac:dyDescent="0.3">
      <c r="A264" s="470"/>
      <c r="B264" s="464"/>
      <c r="C264" s="464"/>
    </row>
    <row r="265" spans="1:20" ht="43.5" customHeight="1" x14ac:dyDescent="0.25">
      <c r="A265" s="479">
        <f>A311</f>
        <v>3</v>
      </c>
      <c r="B265" s="1044" t="str">
        <f>A298</f>
        <v>Electrical Safety Analyzer, Merek : Fluke, Model : ESA 615, SN : 2853077</v>
      </c>
      <c r="C265" s="1045"/>
      <c r="D265" s="1045"/>
      <c r="E265" s="1045"/>
      <c r="F265" s="1046"/>
      <c r="H265" s="480" t="s">
        <v>337</v>
      </c>
      <c r="I265" s="480" t="s">
        <v>338</v>
      </c>
      <c r="J265" s="480" t="s">
        <v>339</v>
      </c>
      <c r="K265" s="480" t="s">
        <v>340</v>
      </c>
      <c r="L265" s="481"/>
      <c r="M265" s="1081" t="s">
        <v>101</v>
      </c>
      <c r="N265" s="1084" t="s">
        <v>254</v>
      </c>
      <c r="O265" s="1079" t="s">
        <v>255</v>
      </c>
      <c r="Q265" s="482"/>
      <c r="R265" s="482"/>
      <c r="S265" s="482"/>
      <c r="T265" s="482"/>
    </row>
    <row r="266" spans="1:20" ht="14.5" customHeight="1" x14ac:dyDescent="0.3">
      <c r="A266" s="1074" t="s">
        <v>231</v>
      </c>
      <c r="B266" s="1074"/>
      <c r="C266" s="1074"/>
      <c r="D266" s="1074"/>
      <c r="E266" s="1074"/>
      <c r="F266" s="1074"/>
      <c r="H266" s="207">
        <f>_xlfn.FORECAST.LINEAR(M268,B269:B274,A269:A274)</f>
        <v>-3.6628781045292613</v>
      </c>
      <c r="I266" s="207">
        <f>_xlfn.FORECAST.LINEAR(M269,B285:B288,A285:A288)</f>
        <v>-1.3332199999999995E-2</v>
      </c>
      <c r="J266" s="207">
        <f>_xlfn.FORECAST.LINEAR(M270,B291:B294,A291:A294)</f>
        <v>-2.6909124614172748E-3</v>
      </c>
      <c r="K266" s="207">
        <f>_xlfn.FORECAST.LINEAR(M271,B277:B282,A277:A282)</f>
        <v>0.26027913878395559</v>
      </c>
      <c r="L266" s="65"/>
      <c r="M266" s="1082"/>
      <c r="N266" s="1085"/>
      <c r="O266" s="1080"/>
      <c r="Q266" s="482"/>
      <c r="R266" s="482"/>
      <c r="S266" s="482"/>
      <c r="T266" s="482"/>
    </row>
    <row r="267" spans="1:20" ht="13.5" thickBot="1" x14ac:dyDescent="0.3">
      <c r="A267" s="1041" t="str">
        <f>B4</f>
        <v>Setting VAC</v>
      </c>
      <c r="B267" s="1041"/>
      <c r="C267" s="1041"/>
      <c r="D267" s="1041"/>
      <c r="E267" s="1041" t="s">
        <v>233</v>
      </c>
      <c r="F267" s="1041" t="s">
        <v>173</v>
      </c>
      <c r="H267" s="482"/>
      <c r="I267" s="482"/>
      <c r="J267" s="482"/>
      <c r="K267" s="482"/>
      <c r="L267" s="65"/>
      <c r="M267" s="1083"/>
      <c r="N267" s="1085"/>
      <c r="O267" s="1080"/>
      <c r="Q267" s="482"/>
      <c r="R267" s="482"/>
      <c r="S267" s="482"/>
      <c r="T267" s="482"/>
    </row>
    <row r="268" spans="1:20" ht="21" x14ac:dyDescent="0.25">
      <c r="A268" s="452" t="s">
        <v>234</v>
      </c>
      <c r="B268" s="615">
        <f>VLOOKUP(B265,A299:L310,9,FALSE)</f>
        <v>2022</v>
      </c>
      <c r="C268" s="615">
        <f>VLOOKUP(B265,A299:L310,10,FALSE)</f>
        <v>2021</v>
      </c>
      <c r="D268" s="615">
        <f>VLOOKUP(B265,A299:L310,11,FALSE)</f>
        <v>2018</v>
      </c>
      <c r="E268" s="1041"/>
      <c r="F268" s="1041"/>
      <c r="H268" s="480" t="s">
        <v>341</v>
      </c>
      <c r="I268" s="480" t="s">
        <v>342</v>
      </c>
      <c r="J268" s="482"/>
      <c r="K268" s="482"/>
      <c r="L268" s="65"/>
      <c r="M268" s="822">
        <f>ID!E17</f>
        <v>219.6</v>
      </c>
      <c r="N268" s="818">
        <f>M268+J278</f>
        <v>217.31479999999999</v>
      </c>
      <c r="O268" s="817">
        <f>IF(M268="-","-",IF(M268=M268,N268,))</f>
        <v>217.31479999999999</v>
      </c>
      <c r="P268" s="482"/>
      <c r="Q268" s="174"/>
      <c r="R268" s="482"/>
      <c r="S268" s="482"/>
    </row>
    <row r="269" spans="1:20" ht="13" x14ac:dyDescent="0.3">
      <c r="A269" s="616">
        <f>VLOOKUP($A265,$B131:$H142,2,(FALSE))</f>
        <v>150</v>
      </c>
      <c r="B269" s="523">
        <f>VLOOKUP($A$265,$B$131:$H$142,3,(FALSE))</f>
        <v>-1.43</v>
      </c>
      <c r="C269" s="523">
        <f>VLOOKUP($A$265,$B$131:$H$142,4,(FALSE))</f>
        <v>-1.6</v>
      </c>
      <c r="D269" s="523">
        <f>VLOOKUP($A$265,$B$131:$H$142,5,(FALSE))</f>
        <v>-7.0000000000000007E-2</v>
      </c>
      <c r="E269" s="617">
        <f>VLOOKUP($A$265,$B$131:$H$142,6,(FALSE))</f>
        <v>0.76500000000000001</v>
      </c>
      <c r="F269" s="617">
        <v>1</v>
      </c>
      <c r="H269" s="484">
        <f>_xlfn.FORECAST.LINEAR(M272,B277:B282,A277:A282)</f>
        <v>6.9744226218357106</v>
      </c>
      <c r="I269" s="618">
        <f>FORECAST(N268,F269:F274,A269:A274)</f>
        <v>2.557169640712468</v>
      </c>
      <c r="J269" s="485"/>
      <c r="K269" s="485"/>
      <c r="L269" s="65"/>
      <c r="M269" s="823">
        <f>ID!I25</f>
        <v>5</v>
      </c>
      <c r="N269" s="819">
        <f>M269+I266</f>
        <v>4.9866678000000002</v>
      </c>
      <c r="O269" s="593">
        <f>IF(M269="OL","OL",IF(M269="NC","NC",IF(M269="OR","OR",IF(M269=M269,N269))))</f>
        <v>4.9866678000000002</v>
      </c>
      <c r="Q269" s="174"/>
    </row>
    <row r="270" spans="1:20" ht="13.5" thickBot="1" x14ac:dyDescent="0.35">
      <c r="A270" s="616">
        <f>VLOOKUP($A$265,$B$144:$H$155,2,(FALSE))</f>
        <v>180</v>
      </c>
      <c r="B270" s="523">
        <f>VLOOKUP($A$265,$B$144:$H$155,3,(FALSE))</f>
        <v>-1.81</v>
      </c>
      <c r="C270" s="523">
        <f>VLOOKUP($A$265,$B$144:$H$155,4,(FALSE))</f>
        <v>-1.9</v>
      </c>
      <c r="D270" s="523">
        <f>VLOOKUP($A$265,$B$144:$H$155,5,(FALSE))</f>
        <v>-0.13</v>
      </c>
      <c r="E270" s="617">
        <f>VLOOKUP($A$265,$B$144:$H$155,6,(FALSE))</f>
        <v>0.88500000000000001</v>
      </c>
      <c r="F270" s="617">
        <f>VLOOKUP($A$265,$B$144:$H$155,7,(FALSE))</f>
        <v>2.16</v>
      </c>
      <c r="H270" s="482"/>
      <c r="I270" s="482"/>
      <c r="J270" s="482"/>
      <c r="K270" s="482"/>
      <c r="L270" s="65"/>
      <c r="M270" s="823">
        <f>ID!I26</f>
        <v>0.121</v>
      </c>
      <c r="N270" s="819">
        <f>M270+J266</f>
        <v>0.11830908753858273</v>
      </c>
      <c r="O270" s="593">
        <f>IF(M270="OL","OL",IF(M270="NC","NC",IF(M270="OR","OR",IFERROR(N270,"-"))))</f>
        <v>0.11830908753858273</v>
      </c>
      <c r="Q270" s="816"/>
    </row>
    <row r="271" spans="1:20" ht="13" x14ac:dyDescent="0.3">
      <c r="A271" s="543">
        <f>VLOOKUP($A$265,$B$157:$H$168,2,(FALSE))</f>
        <v>200</v>
      </c>
      <c r="B271" s="523">
        <f>VLOOKUP($A$265,$B$157:$H$168,3,(FALSE))</f>
        <v>-2.0499999999999998</v>
      </c>
      <c r="C271" s="523">
        <f>VLOOKUP($A$265,$B$157:$H$168,4,(FALSE))</f>
        <v>-2.14</v>
      </c>
      <c r="D271" s="523">
        <f>VLOOKUP($A$265,$B$157:$H$168,5,(FALSE))</f>
        <v>-0.26</v>
      </c>
      <c r="E271" s="617">
        <f>VLOOKUP($A$265,$B$157:$H$168,6,(FALSE))</f>
        <v>0.94000000000000006</v>
      </c>
      <c r="F271" s="617">
        <f>VLOOKUP($A$265,$B$157:$H$168,7,(FALSE))</f>
        <v>2.4</v>
      </c>
      <c r="H271" s="993" t="s">
        <v>204</v>
      </c>
      <c r="I271" s="994"/>
      <c r="J271" s="995"/>
      <c r="K271" s="482"/>
      <c r="L271" s="174" t="s">
        <v>256</v>
      </c>
      <c r="M271" s="824">
        <f>ID!I27</f>
        <v>135</v>
      </c>
      <c r="N271" s="820">
        <f>M271+J282</f>
        <v>137.63999999999999</v>
      </c>
      <c r="O271" s="593">
        <f>IFERROR(N271,"-")</f>
        <v>137.63999999999999</v>
      </c>
      <c r="Q271" s="816"/>
    </row>
    <row r="272" spans="1:20" ht="16" thickBot="1" x14ac:dyDescent="0.35">
      <c r="A272" s="543">
        <f>VLOOKUP($A$265,$B$170:$H$181,2,(FALSE))</f>
        <v>220</v>
      </c>
      <c r="B272" s="523">
        <f>VLOOKUP($A$265,$B$170:$H$181,3,(FALSE))</f>
        <v>-2.29</v>
      </c>
      <c r="C272" s="523">
        <f>VLOOKUP($A$265,$B$170:$H$181,4,(FALSE))</f>
        <v>-3.44</v>
      </c>
      <c r="D272" s="523">
        <f>VLOOKUP($A$265,$B$170:$H$181,5,(FALSE))</f>
        <v>-0.28999999999999998</v>
      </c>
      <c r="E272" s="617">
        <f>VLOOKUP($A$265,$B$170:$H$181,6,(FALSE))</f>
        <v>1.575</v>
      </c>
      <c r="F272" s="617">
        <f>VLOOKUP($A$265,$B$170:$H$181,7,(FALSE))</f>
        <v>2.64</v>
      </c>
      <c r="H272" s="486" t="str">
        <f>TEXT(O268,"0.0")</f>
        <v>217.3</v>
      </c>
      <c r="I272" s="202" t="str">
        <f>TEXT(I269,"0.0")</f>
        <v>2.6</v>
      </c>
      <c r="J272" s="487" t="s">
        <v>343</v>
      </c>
      <c r="K272" s="482"/>
      <c r="L272" s="174" t="s">
        <v>257</v>
      </c>
      <c r="M272" s="825">
        <f>ID!U27</f>
        <v>10</v>
      </c>
      <c r="N272" s="821">
        <f>M272+H269</f>
        <v>16.974422621835711</v>
      </c>
      <c r="O272" s="593">
        <f>IFERROR(N272,"-")</f>
        <v>16.974422621835711</v>
      </c>
      <c r="Q272" s="816"/>
    </row>
    <row r="273" spans="1:16" ht="15.75" customHeight="1" thickBot="1" x14ac:dyDescent="0.35">
      <c r="A273" s="543">
        <f>VLOOKUP($A$265,$B$183:$H$194,2,(FALSE))</f>
        <v>230</v>
      </c>
      <c r="B273" s="523">
        <f>VLOOKUP($A$265,$B$183:$H$194,3,(FALSE))</f>
        <v>-11.79</v>
      </c>
      <c r="C273" s="523">
        <f>VLOOKUP($A$265,$B$183:$H$194,4,(FALSE))</f>
        <v>-2.52</v>
      </c>
      <c r="D273" s="523">
        <f>VLOOKUP($A$265,$B$183:$H$194,5,(FALSE))</f>
        <v>-0.23</v>
      </c>
      <c r="E273" s="617">
        <f>VLOOKUP($A$265,$B$183:$H$194,6,(FALSE))</f>
        <v>5.7799999999999994</v>
      </c>
      <c r="F273" s="617">
        <f>VLOOKUP($A$265,$B$183:$H$194,7,(FALSE))</f>
        <v>2.7600000000000002</v>
      </c>
      <c r="H273" s="488" t="s">
        <v>209</v>
      </c>
      <c r="I273" s="195" t="s">
        <v>210</v>
      </c>
      <c r="J273" s="342" t="s">
        <v>211</v>
      </c>
      <c r="K273" s="485"/>
      <c r="L273" s="65"/>
      <c r="M273" s="267"/>
      <c r="N273" s="268"/>
      <c r="O273" s="269"/>
    </row>
    <row r="274" spans="1:16" ht="25" x14ac:dyDescent="0.25">
      <c r="A274" s="543">
        <f>VLOOKUP($A$265,$B$196:$H$207,2,(FALSE))</f>
        <v>250</v>
      </c>
      <c r="B274" s="523">
        <f>VLOOKUP($A$265,$B$196:$H$207,3,(FALSE))</f>
        <v>9.9999999999999995E-7</v>
      </c>
      <c r="C274" s="523">
        <f>VLOOKUP($A$265,$B$196:$H$207,4,(FALSE))</f>
        <v>9.9999999999999995E-7</v>
      </c>
      <c r="D274" s="523">
        <f>VLOOKUP($A$265,$B$196:$H$207,5,(FALSE))</f>
        <v>9.9999999999999995E-7</v>
      </c>
      <c r="E274" s="617">
        <f>VLOOKUP($A$265,$B$196:$H$207,6,(FALSE))</f>
        <v>0</v>
      </c>
      <c r="F274" s="617">
        <f>VLOOKUP($A$265,$B$196:$H$207,7,(FALSE))</f>
        <v>3</v>
      </c>
      <c r="H274" s="1053" t="str">
        <f>H273&amp;H272&amp;I273&amp;I272&amp;J273&amp;J272</f>
        <v>( 217.3 ± 2.6 ) Volt</v>
      </c>
      <c r="I274" s="1054"/>
      <c r="J274" s="1055"/>
      <c r="K274" s="482"/>
      <c r="M274" s="833" t="s">
        <v>447</v>
      </c>
      <c r="N274" s="268"/>
      <c r="O274" s="269"/>
    </row>
    <row r="275" spans="1:16" ht="13" customHeight="1" x14ac:dyDescent="0.25">
      <c r="A275" s="1047" t="str">
        <f>B12</f>
        <v>Current Leakage</v>
      </c>
      <c r="B275" s="1047"/>
      <c r="C275" s="1047"/>
      <c r="D275" s="1047"/>
      <c r="E275" s="1041" t="s">
        <v>233</v>
      </c>
      <c r="F275" s="1041" t="s">
        <v>173</v>
      </c>
      <c r="H275" s="482"/>
      <c r="I275" s="482"/>
      <c r="J275" s="482"/>
      <c r="K275" s="482"/>
      <c r="L275" s="65"/>
      <c r="M275" s="1173">
        <f ca="1">FORECAST(M269,OFFSET(B285:B288,MATCH(M269,A285:A288,1)-1,0,2),OFFSET(A285:A288,MATCH(M269,A285:A288,1)-1,0,2))</f>
        <v>9.9999999999999995E-7</v>
      </c>
      <c r="N275" s="834">
        <f ca="1">M269+M275</f>
        <v>5.0000010000000001</v>
      </c>
      <c r="O275" s="269"/>
    </row>
    <row r="276" spans="1:16" ht="14" x14ac:dyDescent="0.25">
      <c r="A276" s="452" t="s">
        <v>236</v>
      </c>
      <c r="B276" s="615">
        <f>B268</f>
        <v>2022</v>
      </c>
      <c r="C276" s="615">
        <f>C268</f>
        <v>2021</v>
      </c>
      <c r="D276" s="615">
        <f>D268</f>
        <v>2018</v>
      </c>
      <c r="E276" s="1041"/>
      <c r="F276" s="1041"/>
      <c r="H276" s="1042" t="s">
        <v>400</v>
      </c>
      <c r="I276" s="1042"/>
      <c r="J276" s="1042"/>
      <c r="K276" s="1042"/>
      <c r="L276" s="482"/>
      <c r="M276" s="482"/>
      <c r="N276" s="482"/>
      <c r="O276" s="491"/>
    </row>
    <row r="277" spans="1:16" ht="15.75" customHeight="1" x14ac:dyDescent="0.25">
      <c r="A277" s="543">
        <f>VLOOKUP($A$265,$K$131:$Q$142,2,(FALSE))</f>
        <v>9.9999999999999995E-7</v>
      </c>
      <c r="B277" s="523">
        <f>VLOOKUP($A$265,$K$131:$Q$142,3,(FALSE))</f>
        <v>9.9999999999999995E-7</v>
      </c>
      <c r="C277" s="523">
        <f>VLOOKUP($A$265,$K$131:$Q$142,4,(FALSE))</f>
        <v>9.9999999999999995E-7</v>
      </c>
      <c r="D277" s="523">
        <f>VLOOKUP($A$265,$K$131:$Q$142,5,(FALSE))</f>
        <v>9.9999999999999995E-7</v>
      </c>
      <c r="E277" s="617">
        <f>VLOOKUP($A$265,$K$131:$Q$142,6,(FALSE))</f>
        <v>9.9999999999999995E-7</v>
      </c>
      <c r="F277" s="617">
        <f>VLOOKUP($A$265,$K$131:$Q$142,7,(FALSE))</f>
        <v>5.8999999999999999E-9</v>
      </c>
      <c r="H277" s="619"/>
      <c r="I277" s="620">
        <f>IF(H278&lt;=A270,A269,IF(H278&lt;=A271,A270,IF(H278&lt;=A272,A271,IF(H278&lt;=A273,A272,IF(H278&lt;=A274,A273,A274)))))</f>
        <v>200</v>
      </c>
      <c r="J277" s="620"/>
      <c r="K277" s="620">
        <f>IF(H278&lt;=A270,B269,IF(H278&lt;=A271,B270,IF(H278&lt;=A272,B271,IF(H278&lt;=A273,B272,IF(H278&lt;=A274,B273,B274)))))</f>
        <v>-2.0499999999999998</v>
      </c>
      <c r="L277" s="482"/>
      <c r="M277" s="482"/>
      <c r="N277" s="482"/>
      <c r="O277" s="491"/>
    </row>
    <row r="278" spans="1:16" x14ac:dyDescent="0.25">
      <c r="A278" s="543">
        <f>VLOOKUP($A$265,$K$144:$Q$155,2,(FALSE))</f>
        <v>50</v>
      </c>
      <c r="B278" s="523">
        <f>VLOOKUP($A$265,$K$144:$Q$155,3,(FALSE))</f>
        <v>9.1</v>
      </c>
      <c r="C278" s="523">
        <f>VLOOKUP($A$265,$K$144:$Q$155,4,(FALSE))</f>
        <v>-0.62</v>
      </c>
      <c r="D278" s="523">
        <f>VLOOKUP($A$265,$K$144:$Q$155,5,(FALSE))</f>
        <v>2</v>
      </c>
      <c r="E278" s="617">
        <f>VLOOKUP($A$265,$K$144:$Q$155,6,(FALSE))</f>
        <v>4.8599999999999994</v>
      </c>
      <c r="F278" s="617">
        <f>VLOOKUP($A$265,$K$144:$Q$155,7,(FALSE))</f>
        <v>0.29499999999999998</v>
      </c>
      <c r="H278" s="621">
        <f>M268</f>
        <v>219.6</v>
      </c>
      <c r="I278" s="620"/>
      <c r="J278" s="625">
        <f>((H278-I277)/(I279-I277)*(K279-K277)+K277)</f>
        <v>-2.2852000000000001</v>
      </c>
      <c r="K278" s="620"/>
      <c r="L278" s="482"/>
      <c r="M278" s="482"/>
      <c r="N278" s="482"/>
      <c r="O278" s="491"/>
    </row>
    <row r="279" spans="1:16" x14ac:dyDescent="0.25">
      <c r="A279" s="543">
        <f>VLOOKUP($A$265,$K$157:$Q$168,2,(FALSE))</f>
        <v>100</v>
      </c>
      <c r="B279" s="523">
        <f>VLOOKUP($A$265,$K$157:$Q$168,3,(FALSE))</f>
        <v>6</v>
      </c>
      <c r="C279" s="523">
        <f>VLOOKUP($A$265,$K$157:$Q$168,4,(FALSE))</f>
        <v>-0.22</v>
      </c>
      <c r="D279" s="523">
        <f>VLOOKUP($A$265,$K$157:$Q$168,5,(FALSE))</f>
        <v>2</v>
      </c>
      <c r="E279" s="617">
        <f>VLOOKUP($A$265,$K$157:$Q$168,6,(FALSE))</f>
        <v>3.11</v>
      </c>
      <c r="F279" s="617">
        <f>VLOOKUP($A$265,$K$157:$Q$168,7,(FALSE))</f>
        <v>0.59</v>
      </c>
      <c r="H279" s="619"/>
      <c r="I279" s="620">
        <f>IF(H278&lt;=A270,A270,IF(H278&lt;=A271,A271,IF(H278&lt;=A272,A272,IF(H278&lt;=A273,A273,IF(H278&lt;=A274,A274,250)))))</f>
        <v>220</v>
      </c>
      <c r="J279" s="620"/>
      <c r="K279" s="620">
        <f>IF(H278&lt;=A270,B270,IF(H278&lt;=A271,B271,IF(H278&lt;=A272,B272,IF(H278&lt;=A273,B273,IF(H278&lt;=A274,B274,250)))))</f>
        <v>-2.29</v>
      </c>
      <c r="L279" s="482"/>
      <c r="M279" s="482"/>
      <c r="N279" s="482"/>
      <c r="O279" s="491"/>
    </row>
    <row r="280" spans="1:16" ht="13" x14ac:dyDescent="0.25">
      <c r="A280" s="543">
        <f>VLOOKUP($A$265,$K$170:$Q$181,2,(FALSE))</f>
        <v>200</v>
      </c>
      <c r="B280" s="523">
        <f>VLOOKUP($A$265,$K$170:$Q$181,3,(FALSE))</f>
        <v>-3.6</v>
      </c>
      <c r="C280" s="523">
        <f>VLOOKUP($A$265,$K$170:$Q$181,4,(FALSE))</f>
        <v>-0.1</v>
      </c>
      <c r="D280" s="523">
        <f>VLOOKUP($A$265,$K$170:$Q$181,5,(FALSE))</f>
        <v>3.6</v>
      </c>
      <c r="E280" s="617">
        <f>VLOOKUP($A$265,$K$170:$Q$181,6,(FALSE))</f>
        <v>3.6</v>
      </c>
      <c r="F280" s="617">
        <f>VLOOKUP($A$265,$K$170:$Q$181,7,(FALSE))</f>
        <v>1.18</v>
      </c>
      <c r="H280" s="1043" t="s">
        <v>401</v>
      </c>
      <c r="I280" s="1043"/>
      <c r="J280" s="1043"/>
      <c r="K280" s="1043"/>
      <c r="L280" s="482"/>
      <c r="M280" s="482"/>
      <c r="N280" s="482"/>
      <c r="O280" s="491"/>
    </row>
    <row r="281" spans="1:16" ht="16.5" customHeight="1" x14ac:dyDescent="0.3">
      <c r="A281" s="543">
        <f>VLOOKUP($A$265,$K$183:$Q$194,2,(FALSE))</f>
        <v>500</v>
      </c>
      <c r="B281" s="523">
        <f>VLOOKUP($A$265,$K$183:$Q$194,3,(FALSE))</f>
        <v>-18.8</v>
      </c>
      <c r="C281" s="523">
        <f>VLOOKUP($A$265,$K$183:$Q$194,4,(FALSE))</f>
        <v>-1.1000000000000001</v>
      </c>
      <c r="D281" s="523">
        <f>VLOOKUP($A$265,$K$183:$Q$194,5,(FALSE))</f>
        <v>2.9</v>
      </c>
      <c r="E281" s="617">
        <f>VLOOKUP($A$265,$K$183:$Q$194,6,(FALSE))</f>
        <v>10.85</v>
      </c>
      <c r="F281" s="617">
        <f>VLOOKUP($A$265,$K$183:$Q$194,7,(FALSE))</f>
        <v>2.9499999999999997</v>
      </c>
      <c r="H281" s="619"/>
      <c r="I281" s="620">
        <f>IF(H282&lt;=A278,A277,IF(H282&lt;=A279,A278,IF(H282&lt;=A280,A279,IF(H282&lt;=A281,A280,IF(H282&lt;=A282,A281,A282)))))</f>
        <v>100</v>
      </c>
      <c r="J281" s="620"/>
      <c r="K281" s="620">
        <f>IF(H282&lt;=A278,B277,IF(H282&lt;=A279,B278,IF(H282&lt;=A280,B279,IF(H282&lt;=A281,B280,IF(H282&lt;=A282,B281,B282)))))</f>
        <v>6</v>
      </c>
      <c r="L281" s="482"/>
      <c r="M281" s="482"/>
      <c r="N281" s="482"/>
      <c r="O281" s="491"/>
      <c r="P281" s="490"/>
    </row>
    <row r="282" spans="1:16" x14ac:dyDescent="0.25">
      <c r="A282" s="543">
        <f>VLOOKUP($A$265,$K$196:$Q$207,2,(FALSE))</f>
        <v>1000</v>
      </c>
      <c r="B282" s="523">
        <f>VLOOKUP($A$265,$K$196:$Q$207,3,(FALSE))</f>
        <v>-47</v>
      </c>
      <c r="C282" s="523">
        <f>VLOOKUP($A$265,$K$196:$Q$207,4,(FALSE))</f>
        <v>3</v>
      </c>
      <c r="D282" s="523">
        <f>VLOOKUP($A$265,$K$196:$Q$207,5,(FALSE))</f>
        <v>3</v>
      </c>
      <c r="E282" s="617">
        <f>VLOOKUP($A$265,$K$196:$Q$207,6,(FALSE))</f>
        <v>25</v>
      </c>
      <c r="F282" s="617">
        <f>VLOOKUP($A$265,$K$196:$Q$207,7,(FALSE))</f>
        <v>5.8999999999999995</v>
      </c>
      <c r="H282" s="621">
        <f>M271</f>
        <v>135</v>
      </c>
      <c r="I282" s="620"/>
      <c r="J282" s="625">
        <f>((H282-I281)/(I283-I281)*(K283-K281)+K281)</f>
        <v>2.64</v>
      </c>
      <c r="K282" s="620"/>
      <c r="L282" s="482"/>
      <c r="M282" s="482"/>
      <c r="N282" s="482"/>
      <c r="O282" s="491"/>
      <c r="P282" s="492"/>
    </row>
    <row r="283" spans="1:16" ht="13" x14ac:dyDescent="0.25">
      <c r="A283" s="1047" t="str">
        <f>B20</f>
        <v>Main-PE</v>
      </c>
      <c r="B283" s="1047"/>
      <c r="C283" s="1047"/>
      <c r="D283" s="1047"/>
      <c r="E283" s="1041" t="s">
        <v>233</v>
      </c>
      <c r="F283" s="1041" t="s">
        <v>173</v>
      </c>
      <c r="H283" s="619"/>
      <c r="I283" s="620">
        <f>IF(H282&lt;=A278,A278,IF(H282&lt;=A279,A279,IF(H282&lt;=A280,A280,IF(H282&lt;=A281,A281,IF(H282&lt;=A282,A282,A250)))))</f>
        <v>200</v>
      </c>
      <c r="J283" s="620"/>
      <c r="K283" s="620">
        <f>IF(H282&lt;=A278,B278,IF(H282&lt;=A279,B279,IF(H282&lt;=A280,B280,IF(H282&lt;=A281,B281,IF(H282&lt;=A282,B282,A250)))))</f>
        <v>-3.6</v>
      </c>
      <c r="L283" s="482"/>
      <c r="M283" s="482"/>
      <c r="N283" s="482"/>
      <c r="O283" s="491"/>
      <c r="P283" s="492"/>
    </row>
    <row r="284" spans="1:16" ht="14.5" x14ac:dyDescent="0.25">
      <c r="A284" s="452" t="s">
        <v>335</v>
      </c>
      <c r="B284" s="615">
        <f>B276</f>
        <v>2022</v>
      </c>
      <c r="C284" s="615">
        <f>C276</f>
        <v>2021</v>
      </c>
      <c r="D284" s="615">
        <f>D276</f>
        <v>2018</v>
      </c>
      <c r="E284" s="1041"/>
      <c r="F284" s="1041"/>
      <c r="H284" s="1043" t="s">
        <v>403</v>
      </c>
      <c r="I284" s="1043"/>
      <c r="J284" s="1043"/>
      <c r="K284" s="1043"/>
      <c r="L284" s="482"/>
      <c r="M284" s="482"/>
      <c r="N284" s="482"/>
      <c r="O284" s="491"/>
      <c r="P284" s="492"/>
    </row>
    <row r="285" spans="1:16" ht="15.75" customHeight="1" x14ac:dyDescent="0.25">
      <c r="A285" s="543">
        <f>VLOOKUP($A$265,$B$212:$H$223,2,(FALSE))</f>
        <v>5</v>
      </c>
      <c r="B285" s="523">
        <f>VLOOKUP($A$265,$B$212:$H$223,3,(FALSE))</f>
        <v>9.9999999999999995E-7</v>
      </c>
      <c r="C285" s="523">
        <f>VLOOKUP($A$265,$B$212:$H$223,4,(FALSE))</f>
        <v>9.9999999999999995E-7</v>
      </c>
      <c r="D285" s="523">
        <f>VLOOKUP($A$265,$B$212:$H$223,5,(FALSE))</f>
        <v>9.9999999999999995E-7</v>
      </c>
      <c r="E285" s="617">
        <f>VLOOKUP($A$265,$B$212:$H$223,6,(FALSE))</f>
        <v>9.9999999999999995E-7</v>
      </c>
      <c r="F285" s="617">
        <f>VLOOKUP($A$265,$B$212:$H$223,7,(FALSE))</f>
        <v>8.5000000000000006E-2</v>
      </c>
      <c r="H285" s="619"/>
      <c r="I285" s="626">
        <f>IF(H286&lt;=A270,A269,IF(H286&lt;=A271,A270,IF(H286&lt;=A272,A271,IF(H286&lt;=A273,A272,IF(H286&lt;=A274,A273,A274)))))</f>
        <v>200</v>
      </c>
      <c r="J285" s="620"/>
      <c r="K285" s="626">
        <f>IF(H286&lt;=A270,F269,IF(H286&lt;=A271,F270,IF(H286&lt;=A272,F271,IF(H286&lt;=A273,F272,IF(H286&lt;=A274,F273,F274)))))</f>
        <v>2.4</v>
      </c>
      <c r="L285" s="482"/>
      <c r="M285" s="482"/>
      <c r="N285" s="482"/>
      <c r="O285" s="491"/>
    </row>
    <row r="286" spans="1:16" ht="14" x14ac:dyDescent="0.25">
      <c r="A286" s="543">
        <f>VLOOKUP($A$265,$B$225:$H$236,2,(FALSE))</f>
        <v>10</v>
      </c>
      <c r="B286" s="523">
        <f>VLOOKUP($A$265,$B$225:$H$236,3,(FALSE))</f>
        <v>9.9999999999999995E-7</v>
      </c>
      <c r="C286" s="523">
        <f>VLOOKUP($A$265,$B$225:$H$236,4,(FALSE))</f>
        <v>9.9999999999999995E-7</v>
      </c>
      <c r="D286" s="523">
        <f>VLOOKUP($A$265,$B$225:$H$236,5,(FALSE))</f>
        <v>9.9999999999999995E-7</v>
      </c>
      <c r="E286" s="617">
        <f>VLOOKUP($A$265,$B$225:$H$236,6,(FALSE))</f>
        <v>9.9999999999999995E-7</v>
      </c>
      <c r="F286" s="617">
        <f>VLOOKUP($A$265,$B$225:$H$236,7,(FALSE))</f>
        <v>0.17</v>
      </c>
      <c r="H286" s="627">
        <f>N268</f>
        <v>217.31479999999999</v>
      </c>
      <c r="I286" s="620"/>
      <c r="J286" s="628">
        <f>((H286-I285)/(I287-I285)*(K287-K285)+K285)</f>
        <v>2.6077775999999999</v>
      </c>
      <c r="K286" s="620"/>
      <c r="L286" s="482"/>
      <c r="M286" s="622"/>
      <c r="N286" s="482"/>
      <c r="O286" s="491"/>
    </row>
    <row r="287" spans="1:16" x14ac:dyDescent="0.25">
      <c r="A287" s="543">
        <f>VLOOKUP($A$265,$B$238:$H$249,2,(FALSE))</f>
        <v>20</v>
      </c>
      <c r="B287" s="523">
        <f>VLOOKUP($A$265,$B$238:$H$249,3,(FALSE))</f>
        <v>9.9999999999999995E-7</v>
      </c>
      <c r="C287" s="523">
        <f>VLOOKUP($A$265,$B$238:$H$249,4,(FALSE))</f>
        <v>0.4</v>
      </c>
      <c r="D287" s="523">
        <f>VLOOKUP($A$265,$B$238:$H$249,5,(FALSE))</f>
        <v>0.3</v>
      </c>
      <c r="E287" s="617">
        <f>VLOOKUP($A$265,$B$238:$H$249,6,(FALSE))</f>
        <v>0.19999950000000002</v>
      </c>
      <c r="F287" s="617">
        <f>VLOOKUP($A$265,$B$238:$H$249,7,(FALSE))</f>
        <v>0.34</v>
      </c>
      <c r="H287" s="619"/>
      <c r="I287" s="626">
        <f>IF(H286&lt;=A270,A270,IF(H286&lt;=A271,A271,IF(H286&lt;=A272,A272,IF(H286&lt;=A273,A273,IF(H286&lt;=A274,A274,250)))))</f>
        <v>220</v>
      </c>
      <c r="J287" s="620"/>
      <c r="K287" s="626">
        <f>IF(H286&lt;=A270,F270,IF(H286&lt;=A271,F271,IF(H286&lt;=A272,F272,IF(H286&lt;=A273,F273,IF(H286&lt;=A274,F274,250)))))</f>
        <v>2.64</v>
      </c>
      <c r="L287" s="482"/>
      <c r="M287" s="482"/>
      <c r="N287" s="482"/>
      <c r="O287" s="491"/>
    </row>
    <row r="288" spans="1:16" x14ac:dyDescent="0.25">
      <c r="A288" s="543">
        <f>VLOOKUP($A$265,$B$251:$H$262,2,(FALSE))</f>
        <v>50</v>
      </c>
      <c r="B288" s="523">
        <f>VLOOKUP($A$265,$B$251:$H$262,3,(FALSE))</f>
        <v>0.1</v>
      </c>
      <c r="C288" s="523">
        <f>VLOOKUP($A$265,$B$251:$H$262,4,(FALSE))</f>
        <v>1.1000000000000001</v>
      </c>
      <c r="D288" s="523">
        <f>VLOOKUP($A$265,$B$251:$H$262,5,(FALSE))</f>
        <v>0.6</v>
      </c>
      <c r="E288" s="617">
        <f>VLOOKUP($A$265,$B$251:$H$262,6,(FALSE))</f>
        <v>0.5</v>
      </c>
      <c r="F288" s="617">
        <f>VLOOKUP($A$265,$B$251:$H$262,7,(FALSE))</f>
        <v>0.85000000000000009</v>
      </c>
      <c r="H288" s="482"/>
      <c r="I288" s="482"/>
      <c r="J288" s="482"/>
      <c r="K288" s="482"/>
      <c r="L288" s="482"/>
      <c r="M288" s="482"/>
      <c r="N288" s="482"/>
      <c r="O288" s="491"/>
    </row>
    <row r="289" spans="1:25" ht="15.75" customHeight="1" x14ac:dyDescent="0.25">
      <c r="A289" s="1047" t="str">
        <f>B26</f>
        <v>Resistance</v>
      </c>
      <c r="B289" s="1047"/>
      <c r="C289" s="1047"/>
      <c r="D289" s="1047"/>
      <c r="E289" s="1041" t="s">
        <v>233</v>
      </c>
      <c r="F289" s="1041" t="s">
        <v>173</v>
      </c>
      <c r="H289" s="482"/>
      <c r="I289" s="482"/>
      <c r="J289" s="482"/>
      <c r="K289" s="482"/>
      <c r="L289" s="482"/>
      <c r="M289" s="482"/>
      <c r="N289" s="482"/>
      <c r="O289" s="491"/>
    </row>
    <row r="290" spans="1:25" ht="14.5" x14ac:dyDescent="0.25">
      <c r="A290" s="452" t="s">
        <v>336</v>
      </c>
      <c r="B290" s="615">
        <f>B284</f>
        <v>2022</v>
      </c>
      <c r="C290" s="615">
        <f>C284</f>
        <v>2021</v>
      </c>
      <c r="D290" s="615">
        <f>D284</f>
        <v>2018</v>
      </c>
      <c r="E290" s="1041"/>
      <c r="F290" s="1041"/>
      <c r="H290" s="482"/>
      <c r="I290" s="482"/>
      <c r="J290" s="482"/>
      <c r="K290" s="482"/>
      <c r="L290" s="482"/>
      <c r="M290" s="482"/>
      <c r="N290" s="482"/>
      <c r="O290" s="491"/>
    </row>
    <row r="291" spans="1:25" x14ac:dyDescent="0.25">
      <c r="A291" s="457">
        <f>VLOOKUP($A$265,$K$212:$Q$223,2,(FALSE))</f>
        <v>9.9999999999999995E-7</v>
      </c>
      <c r="B291" s="523">
        <f>VLOOKUP($A$265,$K$212:$Q$223,3,(FALSE))</f>
        <v>-1E-3</v>
      </c>
      <c r="C291" s="523">
        <f>VLOOKUP($A$265,$K$212:$Q$223,4,(FALSE))</f>
        <v>9.9999999999999995E-7</v>
      </c>
      <c r="D291" s="523">
        <f>VLOOKUP($A$265,$K$212:$Q$223,5,(FALSE))</f>
        <v>9.9999999999999995E-7</v>
      </c>
      <c r="E291" s="617">
        <f>VLOOKUP($A$265,$K$212:$Q$223,6,(FALSE))</f>
        <v>5.0049999999999997E-4</v>
      </c>
      <c r="F291" s="617">
        <f>VLOOKUP($A$265,$K$212:$Q$223,7,(FALSE))</f>
        <v>1.2E-8</v>
      </c>
      <c r="H291" s="482"/>
      <c r="I291" s="482"/>
      <c r="J291" s="482"/>
      <c r="K291" s="482"/>
      <c r="L291" s="482"/>
      <c r="M291" s="482"/>
      <c r="N291" s="482"/>
      <c r="O291" s="491"/>
    </row>
    <row r="292" spans="1:25" x14ac:dyDescent="0.25">
      <c r="A292" s="457">
        <f>VLOOKUP($A$265,$K$225:$Q$236,2,(FALSE))</f>
        <v>0.5</v>
      </c>
      <c r="B292" s="523">
        <f>VLOOKUP($A$265,$K$225:$Q$236,3,(FALSE))</f>
        <v>-2E-3</v>
      </c>
      <c r="C292" s="523">
        <f>VLOOKUP($A$265,$K$225:$Q$236,4,(FALSE))</f>
        <v>-1E-3</v>
      </c>
      <c r="D292" s="523">
        <f>VLOOKUP($A$265,$K$225:$Q$236,5,(FALSE))</f>
        <v>9.9999999999999995E-7</v>
      </c>
      <c r="E292" s="617">
        <f>VLOOKUP($A$265,$K$225:$Q$236,6,(FALSE))</f>
        <v>1.0005000000000001E-3</v>
      </c>
      <c r="F292" s="617">
        <f>VLOOKUP($A$265,$K$225:$Q$236,7,(FALSE))</f>
        <v>6.0000000000000001E-3</v>
      </c>
      <c r="H292" s="482"/>
      <c r="I292" s="482"/>
      <c r="J292" s="482"/>
      <c r="K292" s="482"/>
      <c r="L292" s="482"/>
      <c r="M292" s="482"/>
      <c r="N292" s="482"/>
      <c r="O292" s="491"/>
    </row>
    <row r="293" spans="1:25" ht="15.75" customHeight="1" x14ac:dyDescent="0.25">
      <c r="A293" s="457">
        <f>VLOOKUP($A$265,$K$238:$Q$249,2,(FALSE))</f>
        <v>1</v>
      </c>
      <c r="B293" s="523">
        <f>VLOOKUP($A$265,$K$238:$Q$249,3,(FALSE))</f>
        <v>-1.2E-2</v>
      </c>
      <c r="C293" s="523">
        <f>VLOOKUP($A$265,$K$238:$Q$249,4,(FALSE))</f>
        <v>5.0000000000000001E-3</v>
      </c>
      <c r="D293" s="523">
        <f>VLOOKUP($A$265,$K$238:$Q$249,5,(FALSE))</f>
        <v>9.9999999999999995E-7</v>
      </c>
      <c r="E293" s="617">
        <f>VLOOKUP($A$265,$K$238:$Q$249,6,(FALSE))</f>
        <v>8.5000000000000006E-3</v>
      </c>
      <c r="F293" s="617">
        <f>VLOOKUP($A$265,$K$238:$Q$249,7,(FALSE))</f>
        <v>1.2E-2</v>
      </c>
      <c r="H293" s="482"/>
      <c r="I293" s="482"/>
      <c r="J293" s="482"/>
      <c r="K293" s="482"/>
      <c r="L293" s="482"/>
      <c r="M293" s="482"/>
      <c r="N293" s="482"/>
      <c r="O293" s="491"/>
    </row>
    <row r="294" spans="1:25" x14ac:dyDescent="0.25">
      <c r="A294" s="457">
        <f>VLOOKUP($A$265,$K$251:$Q$262,2,(FALSE))</f>
        <v>2</v>
      </c>
      <c r="B294" s="523">
        <f>VLOOKUP($A$265,$K$251:$Q$262,3,(FALSE))</f>
        <v>-8.0000000000000002E-3</v>
      </c>
      <c r="C294" s="523">
        <f>VLOOKUP($A$265,$K$251:$Q$262,4,(FALSE))</f>
        <v>1.4E-2</v>
      </c>
      <c r="D294" s="523">
        <f>VLOOKUP($A$265,$K$251:$Q$262,5,(FALSE))</f>
        <v>9.9999999999999995E-7</v>
      </c>
      <c r="E294" s="617">
        <f>VLOOKUP($A$265,$K$251:$Q$262,6,(FALSE))</f>
        <v>1.0999999999999999E-2</v>
      </c>
      <c r="F294" s="617">
        <f>VLOOKUP($A$265,$K$251:$Q$262,7,(FALSE))</f>
        <v>2.4E-2</v>
      </c>
      <c r="H294" s="482"/>
      <c r="I294" s="482"/>
      <c r="J294" s="482"/>
      <c r="K294" s="482"/>
      <c r="L294" s="482"/>
      <c r="M294" s="482"/>
      <c r="N294" s="482"/>
      <c r="O294" s="491"/>
    </row>
    <row r="297" spans="1:25" ht="13" thickBot="1" x14ac:dyDescent="0.3"/>
    <row r="298" spans="1:25" ht="13" customHeight="1" x14ac:dyDescent="0.3">
      <c r="A298" s="1044" t="str">
        <f>ID!B54</f>
        <v>Electrical Safety Analyzer, Merek : Fluke, Model : ESA 615, SN : 2853077</v>
      </c>
      <c r="B298" s="1045"/>
      <c r="C298" s="1045"/>
      <c r="D298" s="1045"/>
      <c r="E298" s="1045"/>
      <c r="F298" s="1045"/>
      <c r="G298" s="1045"/>
      <c r="H298" s="1045"/>
      <c r="I298" s="1045"/>
      <c r="J298" s="1046"/>
      <c r="K298" s="1044"/>
      <c r="L298" s="1045"/>
      <c r="N298" s="1048">
        <f>A311</f>
        <v>3</v>
      </c>
      <c r="O298" s="1049"/>
      <c r="P298" s="1049"/>
      <c r="Q298" s="1049"/>
      <c r="R298" s="1049"/>
      <c r="S298" s="1049"/>
      <c r="T298" s="1049"/>
      <c r="U298" s="1049"/>
      <c r="V298" s="1049"/>
      <c r="W298" s="1049"/>
      <c r="X298" s="1049"/>
      <c r="Y298" s="1050"/>
    </row>
    <row r="299" spans="1:25" ht="14" x14ac:dyDescent="0.3">
      <c r="A299" s="493" t="s">
        <v>344</v>
      </c>
      <c r="B299" s="494"/>
      <c r="C299" s="495"/>
      <c r="D299" s="496"/>
      <c r="E299" s="496"/>
      <c r="F299" s="496"/>
      <c r="G299" s="496"/>
      <c r="H299" s="496"/>
      <c r="I299" s="497">
        <f>C5</f>
        <v>2022</v>
      </c>
      <c r="J299" s="343">
        <f>D5</f>
        <v>2020</v>
      </c>
      <c r="K299" s="343">
        <f>E5</f>
        <v>2019</v>
      </c>
      <c r="L299" s="498">
        <v>1</v>
      </c>
      <c r="N299" s="499">
        <v>1</v>
      </c>
      <c r="O299" s="500" t="s">
        <v>89</v>
      </c>
      <c r="P299" s="501"/>
      <c r="Q299" s="501"/>
      <c r="R299" s="501"/>
      <c r="S299" s="501"/>
      <c r="T299" s="501"/>
      <c r="U299" s="501"/>
      <c r="V299" s="501"/>
      <c r="W299" s="501"/>
      <c r="X299" s="501"/>
      <c r="Y299" s="502"/>
    </row>
    <row r="300" spans="1:25" ht="14" x14ac:dyDescent="0.3">
      <c r="A300" s="493" t="s">
        <v>345</v>
      </c>
      <c r="B300" s="494"/>
      <c r="C300" s="495"/>
      <c r="D300" s="496"/>
      <c r="E300" s="496"/>
      <c r="F300" s="496"/>
      <c r="G300" s="496"/>
      <c r="H300" s="496"/>
      <c r="I300" s="497">
        <f>J5</f>
        <v>2022</v>
      </c>
      <c r="J300" s="343">
        <f>K5</f>
        <v>2019</v>
      </c>
      <c r="K300" s="343">
        <f>L5</f>
        <v>2017</v>
      </c>
      <c r="L300" s="498">
        <v>2</v>
      </c>
      <c r="N300" s="499">
        <v>2</v>
      </c>
      <c r="O300" s="500" t="s">
        <v>89</v>
      </c>
      <c r="P300" s="501"/>
      <c r="Q300" s="501"/>
      <c r="R300" s="501"/>
      <c r="S300" s="501"/>
      <c r="T300" s="501"/>
      <c r="U300" s="501"/>
      <c r="V300" s="501"/>
      <c r="W300" s="501"/>
      <c r="X300" s="501"/>
      <c r="Y300" s="502"/>
    </row>
    <row r="301" spans="1:25" ht="14" x14ac:dyDescent="0.3">
      <c r="A301" s="493" t="s">
        <v>259</v>
      </c>
      <c r="B301" s="494"/>
      <c r="C301" s="495"/>
      <c r="D301" s="496"/>
      <c r="E301" s="496"/>
      <c r="F301" s="496"/>
      <c r="G301" s="496"/>
      <c r="H301" s="496"/>
      <c r="I301" s="497">
        <f>Q5</f>
        <v>2022</v>
      </c>
      <c r="J301" s="343">
        <f>R5</f>
        <v>2021</v>
      </c>
      <c r="K301" s="343">
        <f>S5</f>
        <v>2018</v>
      </c>
      <c r="L301" s="498">
        <v>3</v>
      </c>
      <c r="N301" s="499">
        <v>3</v>
      </c>
      <c r="O301" s="500" t="s">
        <v>89</v>
      </c>
      <c r="P301" s="501"/>
      <c r="Q301" s="501"/>
      <c r="R301" s="501"/>
      <c r="S301" s="501"/>
      <c r="T301" s="501"/>
      <c r="U301" s="501"/>
      <c r="V301" s="501"/>
      <c r="W301" s="501"/>
      <c r="X301" s="501"/>
      <c r="Y301" s="502"/>
    </row>
    <row r="302" spans="1:25" ht="14" x14ac:dyDescent="0.3">
      <c r="A302" s="493" t="s">
        <v>346</v>
      </c>
      <c r="B302" s="494"/>
      <c r="C302" s="495"/>
      <c r="D302" s="496"/>
      <c r="E302" s="496"/>
      <c r="F302" s="496"/>
      <c r="G302" s="496"/>
      <c r="H302" s="496"/>
      <c r="I302" s="497">
        <f>C36</f>
        <v>2022</v>
      </c>
      <c r="J302" s="343">
        <f>D36</f>
        <v>2021</v>
      </c>
      <c r="K302" s="343">
        <f>E36</f>
        <v>2019</v>
      </c>
      <c r="L302" s="498">
        <v>4</v>
      </c>
      <c r="N302" s="499">
        <v>4</v>
      </c>
      <c r="O302" s="500" t="s">
        <v>89</v>
      </c>
      <c r="P302" s="501"/>
      <c r="Q302" s="501"/>
      <c r="R302" s="501"/>
      <c r="S302" s="501"/>
      <c r="T302" s="501"/>
      <c r="U302" s="501"/>
      <c r="V302" s="501"/>
      <c r="W302" s="501"/>
      <c r="X302" s="501"/>
      <c r="Y302" s="502"/>
    </row>
    <row r="303" spans="1:25" ht="14" x14ac:dyDescent="0.3">
      <c r="A303" s="493" t="s">
        <v>347</v>
      </c>
      <c r="B303" s="495"/>
      <c r="C303" s="495"/>
      <c r="D303" s="496"/>
      <c r="E303" s="496"/>
      <c r="F303" s="496"/>
      <c r="G303" s="496"/>
      <c r="H303" s="496"/>
      <c r="I303" s="497">
        <f>J36</f>
        <v>2022</v>
      </c>
      <c r="J303" s="343">
        <f>K36</f>
        <v>2021</v>
      </c>
      <c r="K303" s="343">
        <f>L36</f>
        <v>2019</v>
      </c>
      <c r="L303" s="498">
        <v>5</v>
      </c>
      <c r="N303" s="499">
        <v>5</v>
      </c>
      <c r="O303" s="500" t="s">
        <v>89</v>
      </c>
      <c r="P303" s="501"/>
      <c r="Q303" s="501"/>
      <c r="R303" s="501"/>
      <c r="S303" s="501"/>
      <c r="T303" s="501"/>
      <c r="U303" s="501"/>
      <c r="V303" s="501"/>
      <c r="W303" s="501"/>
      <c r="X303" s="501"/>
      <c r="Y303" s="502"/>
    </row>
    <row r="304" spans="1:25" ht="14" x14ac:dyDescent="0.3">
      <c r="A304" s="493" t="s">
        <v>260</v>
      </c>
      <c r="B304" s="495"/>
      <c r="C304" s="495"/>
      <c r="D304" s="496"/>
      <c r="E304" s="496"/>
      <c r="F304" s="496"/>
      <c r="G304" s="496"/>
      <c r="H304" s="496"/>
      <c r="I304" s="497">
        <f>Q36</f>
        <v>2022</v>
      </c>
      <c r="J304" s="343">
        <f>R36</f>
        <v>2019</v>
      </c>
      <c r="K304" s="343">
        <f>S36</f>
        <v>2018</v>
      </c>
      <c r="L304" s="498">
        <v>6</v>
      </c>
      <c r="N304" s="499">
        <v>6</v>
      </c>
      <c r="O304" s="500" t="s">
        <v>89</v>
      </c>
      <c r="P304" s="501"/>
      <c r="Q304" s="501"/>
      <c r="R304" s="501"/>
      <c r="S304" s="501"/>
      <c r="T304" s="501"/>
      <c r="U304" s="501"/>
      <c r="V304" s="501"/>
      <c r="W304" s="501"/>
      <c r="X304" s="501"/>
      <c r="Y304" s="502"/>
    </row>
    <row r="305" spans="1:25" ht="14" x14ac:dyDescent="0.3">
      <c r="A305" s="493" t="s">
        <v>261</v>
      </c>
      <c r="B305" s="495"/>
      <c r="C305" s="495"/>
      <c r="D305" s="496"/>
      <c r="E305" s="496"/>
      <c r="F305" s="496"/>
      <c r="G305" s="496"/>
      <c r="H305" s="496"/>
      <c r="I305" s="497">
        <f>C67</f>
        <v>2022</v>
      </c>
      <c r="J305" s="343">
        <f>D67</f>
        <v>2020</v>
      </c>
      <c r="K305" s="343">
        <f>E67</f>
        <v>2018</v>
      </c>
      <c r="L305" s="498">
        <v>7</v>
      </c>
      <c r="N305" s="499">
        <v>7</v>
      </c>
      <c r="O305" s="500" t="s">
        <v>89</v>
      </c>
      <c r="P305" s="501"/>
      <c r="Q305" s="501"/>
      <c r="R305" s="501"/>
      <c r="S305" s="501"/>
      <c r="T305" s="501"/>
      <c r="U305" s="501"/>
      <c r="V305" s="501"/>
      <c r="W305" s="501"/>
      <c r="X305" s="501"/>
      <c r="Y305" s="502"/>
    </row>
    <row r="306" spans="1:25" ht="14" x14ac:dyDescent="0.3">
      <c r="A306" s="493" t="s">
        <v>262</v>
      </c>
      <c r="B306" s="495"/>
      <c r="C306" s="495"/>
      <c r="D306" s="496"/>
      <c r="E306" s="496"/>
      <c r="F306" s="496"/>
      <c r="G306" s="496"/>
      <c r="H306" s="496"/>
      <c r="I306" s="503">
        <f>J67</f>
        <v>2022</v>
      </c>
      <c r="J306" s="343">
        <f>K67</f>
        <v>2020</v>
      </c>
      <c r="K306" s="343" t="str">
        <f>L67</f>
        <v>-</v>
      </c>
      <c r="L306" s="498">
        <v>8</v>
      </c>
      <c r="N306" s="499">
        <v>8</v>
      </c>
      <c r="O306" s="500" t="s">
        <v>89</v>
      </c>
      <c r="P306" s="501"/>
      <c r="Q306" s="501"/>
      <c r="R306" s="501"/>
      <c r="S306" s="501"/>
      <c r="T306" s="501"/>
      <c r="U306" s="501"/>
      <c r="V306" s="501"/>
      <c r="W306" s="501"/>
      <c r="X306" s="501"/>
      <c r="Y306" s="502"/>
    </row>
    <row r="307" spans="1:25" ht="14" x14ac:dyDescent="0.3">
      <c r="A307" s="493" t="s">
        <v>112</v>
      </c>
      <c r="B307" s="495"/>
      <c r="C307" s="495"/>
      <c r="D307" s="496"/>
      <c r="E307" s="496"/>
      <c r="F307" s="496"/>
      <c r="G307" s="496"/>
      <c r="H307" s="496"/>
      <c r="I307" s="503">
        <f>Q67</f>
        <v>2022</v>
      </c>
      <c r="J307" s="343">
        <f>R67</f>
        <v>2020</v>
      </c>
      <c r="K307" s="343" t="str">
        <f>S67</f>
        <v>-</v>
      </c>
      <c r="L307" s="498">
        <v>9</v>
      </c>
      <c r="N307" s="499">
        <v>9</v>
      </c>
      <c r="O307" s="500" t="s">
        <v>89</v>
      </c>
      <c r="P307" s="501"/>
      <c r="Q307" s="501"/>
      <c r="R307" s="501"/>
      <c r="S307" s="501"/>
      <c r="T307" s="501"/>
      <c r="U307" s="501"/>
      <c r="V307" s="501"/>
      <c r="W307" s="501"/>
      <c r="X307" s="501"/>
      <c r="Y307" s="502"/>
    </row>
    <row r="308" spans="1:25" ht="14" x14ac:dyDescent="0.3">
      <c r="A308" s="493" t="s">
        <v>348</v>
      </c>
      <c r="B308" s="504"/>
      <c r="C308" s="504"/>
      <c r="D308" s="505"/>
      <c r="E308" s="505"/>
      <c r="F308" s="505"/>
      <c r="G308" s="505"/>
      <c r="H308" s="505"/>
      <c r="I308" s="503">
        <f>C98</f>
        <v>2021</v>
      </c>
      <c r="J308" s="343" t="str">
        <f>D98</f>
        <v>-</v>
      </c>
      <c r="K308" s="343" t="str">
        <f>E98</f>
        <v>-</v>
      </c>
      <c r="L308" s="498">
        <v>10</v>
      </c>
      <c r="N308" s="499">
        <v>10</v>
      </c>
      <c r="O308" s="500" t="s">
        <v>89</v>
      </c>
      <c r="P308" s="506"/>
      <c r="Q308" s="506"/>
      <c r="R308" s="506"/>
      <c r="S308" s="506"/>
      <c r="T308" s="506"/>
      <c r="U308" s="506"/>
      <c r="V308" s="506"/>
      <c r="W308" s="506"/>
      <c r="X308" s="506"/>
      <c r="Y308" s="507"/>
    </row>
    <row r="309" spans="1:25" ht="14" x14ac:dyDescent="0.3">
      <c r="A309" s="493" t="s">
        <v>263</v>
      </c>
      <c r="B309" s="504"/>
      <c r="C309" s="504"/>
      <c r="D309" s="505"/>
      <c r="E309" s="505"/>
      <c r="F309" s="505"/>
      <c r="G309" s="505"/>
      <c r="H309" s="505"/>
      <c r="I309" s="503" t="str">
        <f>J98</f>
        <v>-</v>
      </c>
      <c r="J309" s="343" t="str">
        <f>K98</f>
        <v>-</v>
      </c>
      <c r="K309" s="343" t="str">
        <f>L98</f>
        <v>-</v>
      </c>
      <c r="L309" s="498">
        <v>11</v>
      </c>
      <c r="N309" s="499">
        <v>11</v>
      </c>
      <c r="O309" s="500" t="s">
        <v>89</v>
      </c>
      <c r="P309" s="506"/>
      <c r="Q309" s="506"/>
      <c r="R309" s="506"/>
      <c r="S309" s="506"/>
      <c r="T309" s="506"/>
      <c r="U309" s="506"/>
      <c r="V309" s="506"/>
      <c r="W309" s="506"/>
      <c r="X309" s="506"/>
      <c r="Y309" s="507"/>
    </row>
    <row r="310" spans="1:25" ht="14" x14ac:dyDescent="0.3">
      <c r="A310" s="493" t="s">
        <v>264</v>
      </c>
      <c r="B310" s="504"/>
      <c r="C310" s="504"/>
      <c r="D310" s="505"/>
      <c r="E310" s="505"/>
      <c r="F310" s="505"/>
      <c r="G310" s="505"/>
      <c r="H310" s="505"/>
      <c r="I310" s="503" t="str">
        <f>Q98</f>
        <v>-</v>
      </c>
      <c r="J310" s="343" t="str">
        <f>R98</f>
        <v>-</v>
      </c>
      <c r="K310" s="343" t="str">
        <f>S98</f>
        <v>-</v>
      </c>
      <c r="L310" s="498">
        <v>12</v>
      </c>
      <c r="N310" s="499">
        <v>12</v>
      </c>
      <c r="O310" s="500" t="s">
        <v>89</v>
      </c>
      <c r="P310" s="506"/>
      <c r="Q310" s="506"/>
      <c r="R310" s="506"/>
      <c r="S310" s="506"/>
      <c r="T310" s="506"/>
      <c r="U310" s="506"/>
      <c r="V310" s="506"/>
      <c r="W310" s="506"/>
      <c r="X310" s="506"/>
      <c r="Y310" s="507"/>
    </row>
    <row r="311" spans="1:25" ht="13.5" thickBot="1" x14ac:dyDescent="0.35">
      <c r="A311" s="1051">
        <f>VLOOKUP(A298,A299:L310,12,(FALSE))</f>
        <v>3</v>
      </c>
      <c r="B311" s="1052"/>
      <c r="C311" s="1052"/>
      <c r="D311" s="1052"/>
      <c r="E311" s="1052"/>
      <c r="F311" s="1052"/>
      <c r="G311" s="1052"/>
      <c r="H311" s="1052"/>
      <c r="I311" s="1052"/>
      <c r="J311" s="1052"/>
      <c r="K311" s="1052"/>
      <c r="L311" s="1052"/>
      <c r="N311" s="508" t="str">
        <f>VLOOKUP(N298,N299:Y310,2,FALSE)</f>
        <v>Hasil pengukuran keselamatan listrik tertelusur ke Satuan Internasional ( SI ) melalui PT. Kaliman (LK-032-IDN)</v>
      </c>
      <c r="O311" s="509"/>
      <c r="P311" s="509"/>
      <c r="Q311" s="510"/>
      <c r="R311" s="510"/>
      <c r="S311" s="510"/>
      <c r="T311" s="510"/>
      <c r="U311" s="510"/>
      <c r="V311" s="510"/>
      <c r="W311" s="510"/>
      <c r="X311" s="510"/>
      <c r="Y311" s="511"/>
    </row>
  </sheetData>
  <mergeCells count="245">
    <mergeCell ref="L210:O210"/>
    <mergeCell ref="J212:J223"/>
    <mergeCell ref="J225:J236"/>
    <mergeCell ref="J238:J249"/>
    <mergeCell ref="J251:J262"/>
    <mergeCell ref="B265:F265"/>
    <mergeCell ref="O265:O267"/>
    <mergeCell ref="A266:F266"/>
    <mergeCell ref="A267:D267"/>
    <mergeCell ref="F267:F268"/>
    <mergeCell ref="M265:M267"/>
    <mergeCell ref="N265:N267"/>
    <mergeCell ref="E267:E268"/>
    <mergeCell ref="L209:Q209"/>
    <mergeCell ref="B96:G96"/>
    <mergeCell ref="I96:N96"/>
    <mergeCell ref="P96:U96"/>
    <mergeCell ref="B97:E97"/>
    <mergeCell ref="G97:G98"/>
    <mergeCell ref="I97:L97"/>
    <mergeCell ref="N97:N98"/>
    <mergeCell ref="P97:S97"/>
    <mergeCell ref="U97:U98"/>
    <mergeCell ref="H95:H124"/>
    <mergeCell ref="O95:O124"/>
    <mergeCell ref="M119:M120"/>
    <mergeCell ref="T119:T120"/>
    <mergeCell ref="B119:E119"/>
    <mergeCell ref="G119:G120"/>
    <mergeCell ref="T97:T98"/>
    <mergeCell ref="U119:U120"/>
    <mergeCell ref="N105:N106"/>
    <mergeCell ref="F105:F106"/>
    <mergeCell ref="M105:M106"/>
    <mergeCell ref="T105:T106"/>
    <mergeCell ref="T113:T114"/>
    <mergeCell ref="F119:F120"/>
    <mergeCell ref="B57:E57"/>
    <mergeCell ref="F57:F58"/>
    <mergeCell ref="G57:G58"/>
    <mergeCell ref="I57:L57"/>
    <mergeCell ref="N57:N58"/>
    <mergeCell ref="P57:S57"/>
    <mergeCell ref="U57:U58"/>
    <mergeCell ref="B66:E66"/>
    <mergeCell ref="G66:G67"/>
    <mergeCell ref="I66:L66"/>
    <mergeCell ref="N66:N67"/>
    <mergeCell ref="P66:S66"/>
    <mergeCell ref="U66:U67"/>
    <mergeCell ref="B64:G64"/>
    <mergeCell ref="I64:N64"/>
    <mergeCell ref="P64:U64"/>
    <mergeCell ref="B65:G65"/>
    <mergeCell ref="I65:N65"/>
    <mergeCell ref="P65:U65"/>
    <mergeCell ref="T66:T67"/>
    <mergeCell ref="F35:F36"/>
    <mergeCell ref="G35:G36"/>
    <mergeCell ref="I35:L35"/>
    <mergeCell ref="N35:N36"/>
    <mergeCell ref="P35:S35"/>
    <mergeCell ref="U35:U36"/>
    <mergeCell ref="U43:U44"/>
    <mergeCell ref="B51:E51"/>
    <mergeCell ref="F51:F52"/>
    <mergeCell ref="G51:G52"/>
    <mergeCell ref="I51:L51"/>
    <mergeCell ref="N51:N52"/>
    <mergeCell ref="P51:S51"/>
    <mergeCell ref="U51:U52"/>
    <mergeCell ref="U12:U13"/>
    <mergeCell ref="B20:E20"/>
    <mergeCell ref="G20:G21"/>
    <mergeCell ref="I20:L20"/>
    <mergeCell ref="N20:N21"/>
    <mergeCell ref="P20:S20"/>
    <mergeCell ref="U20:U21"/>
    <mergeCell ref="B26:E26"/>
    <mergeCell ref="G26:G27"/>
    <mergeCell ref="I26:L26"/>
    <mergeCell ref="N26:N27"/>
    <mergeCell ref="P26:S26"/>
    <mergeCell ref="U26:U27"/>
    <mergeCell ref="T20:T21"/>
    <mergeCell ref="B12:E12"/>
    <mergeCell ref="G12:G13"/>
    <mergeCell ref="I12:L12"/>
    <mergeCell ref="N12:N13"/>
    <mergeCell ref="P12:S12"/>
    <mergeCell ref="F26:F27"/>
    <mergeCell ref="M26:M27"/>
    <mergeCell ref="T26:T27"/>
    <mergeCell ref="A1:U1"/>
    <mergeCell ref="B2:G2"/>
    <mergeCell ref="I2:N2"/>
    <mergeCell ref="P2:U2"/>
    <mergeCell ref="B3:G3"/>
    <mergeCell ref="I3:N3"/>
    <mergeCell ref="P3:U3"/>
    <mergeCell ref="B4:E4"/>
    <mergeCell ref="G4:G5"/>
    <mergeCell ref="I4:L4"/>
    <mergeCell ref="N4:N5"/>
    <mergeCell ref="P4:S4"/>
    <mergeCell ref="U4:U5"/>
    <mergeCell ref="A2:A31"/>
    <mergeCell ref="H2:H31"/>
    <mergeCell ref="O2:O31"/>
    <mergeCell ref="T4:T5"/>
    <mergeCell ref="F12:F13"/>
    <mergeCell ref="M12:M13"/>
    <mergeCell ref="F4:F5"/>
    <mergeCell ref="M4:M5"/>
    <mergeCell ref="T12:T13"/>
    <mergeCell ref="F20:F21"/>
    <mergeCell ref="M20:M21"/>
    <mergeCell ref="A33:A62"/>
    <mergeCell ref="H33:H62"/>
    <mergeCell ref="O33:O62"/>
    <mergeCell ref="M35:M36"/>
    <mergeCell ref="T35:T36"/>
    <mergeCell ref="M43:M44"/>
    <mergeCell ref="M57:M58"/>
    <mergeCell ref="T57:T58"/>
    <mergeCell ref="T43:T44"/>
    <mergeCell ref="M51:M52"/>
    <mergeCell ref="T51:T52"/>
    <mergeCell ref="B43:E43"/>
    <mergeCell ref="F43:F44"/>
    <mergeCell ref="G43:G44"/>
    <mergeCell ref="I43:L43"/>
    <mergeCell ref="N43:N44"/>
    <mergeCell ref="P43:S43"/>
    <mergeCell ref="B33:G33"/>
    <mergeCell ref="I33:N33"/>
    <mergeCell ref="P33:U33"/>
    <mergeCell ref="B34:G34"/>
    <mergeCell ref="I34:N34"/>
    <mergeCell ref="P34:U34"/>
    <mergeCell ref="B35:E35"/>
    <mergeCell ref="A64:A93"/>
    <mergeCell ref="T74:T75"/>
    <mergeCell ref="F82:F83"/>
    <mergeCell ref="M82:M83"/>
    <mergeCell ref="F74:F75"/>
    <mergeCell ref="M74:M75"/>
    <mergeCell ref="F66:F67"/>
    <mergeCell ref="M66:M67"/>
    <mergeCell ref="H64:H93"/>
    <mergeCell ref="O64:O93"/>
    <mergeCell ref="T88:T89"/>
    <mergeCell ref="F88:F89"/>
    <mergeCell ref="M88:M89"/>
    <mergeCell ref="G82:G83"/>
    <mergeCell ref="I82:L82"/>
    <mergeCell ref="N82:N83"/>
    <mergeCell ref="P82:S82"/>
    <mergeCell ref="B88:E88"/>
    <mergeCell ref="G88:G89"/>
    <mergeCell ref="I88:L88"/>
    <mergeCell ref="N88:N89"/>
    <mergeCell ref="P88:S88"/>
    <mergeCell ref="T82:T83"/>
    <mergeCell ref="B74:E74"/>
    <mergeCell ref="U105:U106"/>
    <mergeCell ref="U82:U83"/>
    <mergeCell ref="F97:F98"/>
    <mergeCell ref="B113:E113"/>
    <mergeCell ref="G113:G114"/>
    <mergeCell ref="G74:G75"/>
    <mergeCell ref="I74:L74"/>
    <mergeCell ref="N74:N75"/>
    <mergeCell ref="P74:S74"/>
    <mergeCell ref="U74:U75"/>
    <mergeCell ref="B82:E82"/>
    <mergeCell ref="U88:U89"/>
    <mergeCell ref="I95:N95"/>
    <mergeCell ref="P95:U95"/>
    <mergeCell ref="U113:U114"/>
    <mergeCell ref="B95:G95"/>
    <mergeCell ref="A95:A124"/>
    <mergeCell ref="A128:A130"/>
    <mergeCell ref="B128:B130"/>
    <mergeCell ref="J128:J130"/>
    <mergeCell ref="A131:A142"/>
    <mergeCell ref="P105:S105"/>
    <mergeCell ref="I119:L119"/>
    <mergeCell ref="N119:N120"/>
    <mergeCell ref="P119:S119"/>
    <mergeCell ref="B105:E105"/>
    <mergeCell ref="G105:G106"/>
    <mergeCell ref="I105:L105"/>
    <mergeCell ref="M97:M98"/>
    <mergeCell ref="I113:L113"/>
    <mergeCell ref="N113:N114"/>
    <mergeCell ref="P113:S113"/>
    <mergeCell ref="F113:F114"/>
    <mergeCell ref="M113:M114"/>
    <mergeCell ref="A144:A155"/>
    <mergeCell ref="A125:U125"/>
    <mergeCell ref="A126:U126"/>
    <mergeCell ref="C128:H128"/>
    <mergeCell ref="K128:K130"/>
    <mergeCell ref="L128:O128"/>
    <mergeCell ref="C129:F129"/>
    <mergeCell ref="L129:O129"/>
    <mergeCell ref="J131:J142"/>
    <mergeCell ref="N298:Y298"/>
    <mergeCell ref="A311:L311"/>
    <mergeCell ref="H271:J271"/>
    <mergeCell ref="H274:J274"/>
    <mergeCell ref="A275:D275"/>
    <mergeCell ref="J144:J155"/>
    <mergeCell ref="J157:J168"/>
    <mergeCell ref="J170:J181"/>
    <mergeCell ref="J183:J194"/>
    <mergeCell ref="J196:J207"/>
    <mergeCell ref="C209:H209"/>
    <mergeCell ref="K209:K211"/>
    <mergeCell ref="A196:A207"/>
    <mergeCell ref="A209:A211"/>
    <mergeCell ref="B209:B211"/>
    <mergeCell ref="J209:J211"/>
    <mergeCell ref="A212:A223"/>
    <mergeCell ref="A225:A236"/>
    <mergeCell ref="A238:A249"/>
    <mergeCell ref="A251:A262"/>
    <mergeCell ref="A157:A168"/>
    <mergeCell ref="A170:A181"/>
    <mergeCell ref="A183:A194"/>
    <mergeCell ref="C210:F210"/>
    <mergeCell ref="E275:E276"/>
    <mergeCell ref="F275:F276"/>
    <mergeCell ref="H276:K276"/>
    <mergeCell ref="H280:K280"/>
    <mergeCell ref="E283:E284"/>
    <mergeCell ref="F283:F284"/>
    <mergeCell ref="E289:E290"/>
    <mergeCell ref="F289:F290"/>
    <mergeCell ref="A298:J298"/>
    <mergeCell ref="K298:L298"/>
    <mergeCell ref="H284:K284"/>
    <mergeCell ref="A283:D283"/>
    <mergeCell ref="A289:D28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5</vt:i4>
      </vt:variant>
    </vt:vector>
  </HeadingPairs>
  <TitlesOfParts>
    <vt:vector size="17" baseType="lpstr">
      <vt:lpstr>LK</vt:lpstr>
      <vt:lpstr>Riwayat Revisi</vt:lpstr>
      <vt:lpstr>UB</vt:lpstr>
      <vt:lpstr>PENYELIA</vt:lpstr>
      <vt:lpstr>ID</vt:lpstr>
      <vt:lpstr>LH</vt:lpstr>
      <vt:lpstr>SERTIFIKAT</vt:lpstr>
      <vt:lpstr>DB Thermohygro</vt:lpstr>
      <vt:lpstr>DB Kelistrikan</vt:lpstr>
      <vt:lpstr>DB Gas Flow Analyzer</vt:lpstr>
      <vt:lpstr>DB MAXTEC</vt:lpstr>
      <vt:lpstr>SCORING</vt:lpstr>
      <vt:lpstr>ID!Print_Area</vt:lpstr>
      <vt:lpstr>LH!Print_Area</vt:lpstr>
      <vt:lpstr>LK!Print_Area</vt:lpstr>
      <vt:lpstr>PENYELIA!Print_Area</vt:lpstr>
      <vt:lpstr>UB!Print_Area</vt:lpstr>
    </vt:vector>
  </TitlesOfParts>
  <Manager>Donny Martha</Manager>
  <Company>Lab. Flow &amp; Volume LPFK BJB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CPAP 2018</dc:title>
  <dc:subject/>
  <dc:creator>Donny Martha</dc:creator>
  <cp:keywords/>
  <dc:description/>
  <cp:lastModifiedBy>Irfan Hsnzhn</cp:lastModifiedBy>
  <cp:revision/>
  <cp:lastPrinted>2023-08-30T04:17:58Z</cp:lastPrinted>
  <dcterms:created xsi:type="dcterms:W3CDTF">2004-10-15T07:18:29Z</dcterms:created>
  <dcterms:modified xsi:type="dcterms:W3CDTF">2023-09-20T12:46:23Z</dcterms:modified>
  <cp:category>Laboratorium Flow &amp; Volume</cp:category>
  <cp:contentStatus/>
</cp:coreProperties>
</file>