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drawings/drawing3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2B984493-2885-4271-8BBC-49F04816A69D}" xr6:coauthVersionLast="47" xr6:coauthVersionMax="47" xr10:uidLastSave="{00000000-0000-0000-0000-000000000000}"/>
  <bookViews>
    <workbookView xWindow="0" yWindow="0" windowWidth="10245" windowHeight="11070" firstSheet="7" activeTab="8" xr2:uid="{00000000-000D-0000-FFFF-FFFF00000000}"/>
  </bookViews>
  <sheets>
    <sheet name="LK" sheetId="8" r:id="rId1"/>
    <sheet name="Riwayat Revisi" sheetId="22" state="hidden" r:id="rId2"/>
    <sheet name="UB" sheetId="9" r:id="rId3"/>
    <sheet name="PENYELIA" sheetId="4" r:id="rId4"/>
    <sheet name="ID" sheetId="5" r:id="rId5"/>
    <sheet name="LH" sheetId="1" r:id="rId6"/>
    <sheet name="DB Kelistrikan" sheetId="24" r:id="rId7"/>
    <sheet name="DB IDA" sheetId="10" r:id="rId8"/>
    <sheet name="SERTIFIKAT" sheetId="23" r:id="rId9"/>
    <sheet name="DB Thermohygro" sheetId="16" r:id="rId10"/>
    <sheet name="SCORING" sheetId="17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xlnm.Print_Area" localSheetId="9">'DB Thermohygro'!#REF!,'DB Thermohygro'!#REF!</definedName>
    <definedName name="_xlnm.Print_Area" localSheetId="4">ID!$A$1:$N$68</definedName>
    <definedName name="_xlnm.Print_Area" localSheetId="5">LH!$A$1:$L$76</definedName>
    <definedName name="_xlnm.Print_Area" localSheetId="0">LK!$A$1:$L$66</definedName>
    <definedName name="_xlnm.Print_Area" localSheetId="3">PENYELIA!$A$1:$N$67</definedName>
    <definedName name="_xlnm.Print_Area" localSheetId="10">SCORING!$A$1:$G$19</definedName>
    <definedName name="_xlnm.Print_Area" localSheetId="8">SERTIFIKAT!$A$1:$F$33</definedName>
    <definedName name="_xlnm.Print_Area" localSheetId="2">UB!$A$1:$K$69</definedName>
  </definedNames>
  <calcPr calcId="191029"/>
</workbook>
</file>

<file path=xl/calcChain.xml><?xml version="1.0" encoding="utf-8"?>
<calcChain xmlns="http://schemas.openxmlformats.org/spreadsheetml/2006/main">
  <c r="D40" i="1" l="1"/>
  <c r="H29" i="1"/>
  <c r="C8" i="1"/>
  <c r="F19" i="1"/>
  <c r="G19" i="1"/>
  <c r="H19" i="1"/>
  <c r="E19" i="1"/>
  <c r="F18" i="1"/>
  <c r="G18" i="1"/>
  <c r="H18" i="1"/>
  <c r="E18" i="1"/>
  <c r="F17" i="1"/>
  <c r="G17" i="1"/>
  <c r="H17" i="1"/>
  <c r="E17" i="1"/>
  <c r="H293" i="24"/>
  <c r="G18" i="4"/>
  <c r="E18" i="4"/>
  <c r="G17" i="4"/>
  <c r="E17" i="4"/>
  <c r="G16" i="4" l="1"/>
  <c r="E16" i="4"/>
  <c r="B45" i="5" l="1"/>
  <c r="J28" i="4"/>
  <c r="J27" i="4"/>
  <c r="M272" i="24"/>
  <c r="H289" i="24" s="1"/>
  <c r="M271" i="24"/>
  <c r="M270" i="24"/>
  <c r="M269" i="24"/>
  <c r="J26" i="4" s="1"/>
  <c r="M268" i="24"/>
  <c r="K310" i="24"/>
  <c r="J310" i="24"/>
  <c r="I310" i="24"/>
  <c r="K309" i="24"/>
  <c r="J309" i="24"/>
  <c r="I309" i="24"/>
  <c r="K308" i="24"/>
  <c r="J308" i="24"/>
  <c r="I308" i="24"/>
  <c r="K307" i="24"/>
  <c r="J307" i="24"/>
  <c r="I307" i="24"/>
  <c r="K306" i="24"/>
  <c r="J306" i="24"/>
  <c r="I306" i="24"/>
  <c r="K305" i="24"/>
  <c r="J305" i="24"/>
  <c r="I305" i="24"/>
  <c r="K304" i="24"/>
  <c r="J304" i="24"/>
  <c r="I304" i="24"/>
  <c r="K303" i="24"/>
  <c r="J303" i="24"/>
  <c r="I303" i="24"/>
  <c r="K302" i="24"/>
  <c r="J302" i="24"/>
  <c r="I302" i="24"/>
  <c r="K301" i="24"/>
  <c r="J301" i="24"/>
  <c r="I301" i="24"/>
  <c r="K300" i="24"/>
  <c r="J300" i="24"/>
  <c r="I300" i="24"/>
  <c r="K299" i="24"/>
  <c r="J299" i="24"/>
  <c r="I299" i="24"/>
  <c r="A298" i="24"/>
  <c r="A311" i="24" s="1"/>
  <c r="N298" i="24" s="1"/>
  <c r="N311" i="24" s="1"/>
  <c r="A289" i="24"/>
  <c r="A283" i="24"/>
  <c r="A275" i="24"/>
  <c r="H273" i="24"/>
  <c r="A267" i="24"/>
  <c r="Q262" i="24"/>
  <c r="O262" i="24"/>
  <c r="N262" i="24"/>
  <c r="M262" i="24"/>
  <c r="L262" i="24"/>
  <c r="H262" i="24"/>
  <c r="G262" i="24"/>
  <c r="F262" i="24"/>
  <c r="E262" i="24"/>
  <c r="D262" i="24"/>
  <c r="C262" i="24"/>
  <c r="Q261" i="24"/>
  <c r="O261" i="24"/>
  <c r="N261" i="24"/>
  <c r="M261" i="24"/>
  <c r="L261" i="24"/>
  <c r="H261" i="24"/>
  <c r="F261" i="24"/>
  <c r="E261" i="24"/>
  <c r="D261" i="24"/>
  <c r="C261" i="24"/>
  <c r="Q260" i="24"/>
  <c r="O260" i="24"/>
  <c r="N260" i="24"/>
  <c r="M260" i="24"/>
  <c r="L260" i="24"/>
  <c r="H260" i="24"/>
  <c r="G260" i="24"/>
  <c r="F260" i="24"/>
  <c r="E260" i="24"/>
  <c r="D260" i="24"/>
  <c r="C260" i="24"/>
  <c r="O259" i="24"/>
  <c r="N259" i="24"/>
  <c r="M259" i="24"/>
  <c r="L259" i="24"/>
  <c r="H259" i="24"/>
  <c r="F259" i="24"/>
  <c r="E259" i="24"/>
  <c r="D259" i="24"/>
  <c r="C259" i="24"/>
  <c r="O258" i="24"/>
  <c r="N258" i="24"/>
  <c r="M258" i="24"/>
  <c r="L258" i="24"/>
  <c r="G258" i="24"/>
  <c r="F258" i="24"/>
  <c r="E258" i="24"/>
  <c r="D258" i="24"/>
  <c r="C258" i="24"/>
  <c r="O257" i="24"/>
  <c r="N257" i="24"/>
  <c r="M257" i="24"/>
  <c r="L257" i="24"/>
  <c r="F257" i="24"/>
  <c r="E257" i="24"/>
  <c r="D257" i="24"/>
  <c r="C257" i="24"/>
  <c r="O256" i="24"/>
  <c r="N256" i="24"/>
  <c r="M256" i="24"/>
  <c r="L256" i="24"/>
  <c r="G256" i="24"/>
  <c r="F256" i="24"/>
  <c r="E256" i="24"/>
  <c r="D256" i="24"/>
  <c r="C256" i="24"/>
  <c r="O255" i="24"/>
  <c r="N255" i="24"/>
  <c r="M255" i="24"/>
  <c r="L255" i="24"/>
  <c r="F255" i="24"/>
  <c r="E255" i="24"/>
  <c r="D255" i="24"/>
  <c r="C255" i="24"/>
  <c r="O254" i="24"/>
  <c r="N254" i="24"/>
  <c r="M254" i="24"/>
  <c r="L254" i="24"/>
  <c r="G254" i="24"/>
  <c r="F254" i="24"/>
  <c r="E254" i="24"/>
  <c r="D254" i="24"/>
  <c r="C254" i="24"/>
  <c r="O253" i="24"/>
  <c r="N253" i="24"/>
  <c r="M253" i="24"/>
  <c r="L253" i="24"/>
  <c r="F253" i="24"/>
  <c r="E253" i="24"/>
  <c r="D253" i="24"/>
  <c r="C253" i="24"/>
  <c r="O252" i="24"/>
  <c r="N252" i="24"/>
  <c r="M252" i="24"/>
  <c r="L252" i="24"/>
  <c r="G252" i="24"/>
  <c r="F252" i="24"/>
  <c r="E252" i="24"/>
  <c r="D252" i="24"/>
  <c r="C252" i="24"/>
  <c r="O251" i="24"/>
  <c r="N251" i="24"/>
  <c r="M251" i="24"/>
  <c r="L251" i="24"/>
  <c r="H251" i="24"/>
  <c r="F251" i="24"/>
  <c r="E251" i="24"/>
  <c r="D251" i="24"/>
  <c r="C251" i="24"/>
  <c r="Q249" i="24"/>
  <c r="O249" i="24"/>
  <c r="N249" i="24"/>
  <c r="M249" i="24"/>
  <c r="L249" i="24"/>
  <c r="H249" i="24"/>
  <c r="G249" i="24"/>
  <c r="F249" i="24"/>
  <c r="E249" i="24"/>
  <c r="D249" i="24"/>
  <c r="C249" i="24"/>
  <c r="Q248" i="24"/>
  <c r="O248" i="24"/>
  <c r="N248" i="24"/>
  <c r="M248" i="24"/>
  <c r="L248" i="24"/>
  <c r="H248" i="24"/>
  <c r="F248" i="24"/>
  <c r="E248" i="24"/>
  <c r="D248" i="24"/>
  <c r="C248" i="24"/>
  <c r="Q247" i="24"/>
  <c r="O247" i="24"/>
  <c r="N247" i="24"/>
  <c r="M247" i="24"/>
  <c r="L247" i="24"/>
  <c r="H247" i="24"/>
  <c r="G247" i="24"/>
  <c r="F247" i="24"/>
  <c r="E247" i="24"/>
  <c r="D247" i="24"/>
  <c r="C247" i="24"/>
  <c r="O246" i="24"/>
  <c r="N246" i="24"/>
  <c r="M246" i="24"/>
  <c r="L246" i="24"/>
  <c r="H246" i="24"/>
  <c r="F246" i="24"/>
  <c r="E246" i="24"/>
  <c r="D246" i="24"/>
  <c r="C246" i="24"/>
  <c r="O245" i="24"/>
  <c r="N245" i="24"/>
  <c r="M245" i="24"/>
  <c r="L245" i="24"/>
  <c r="G245" i="24"/>
  <c r="F245" i="24"/>
  <c r="E245" i="24"/>
  <c r="D245" i="24"/>
  <c r="C245" i="24"/>
  <c r="O244" i="24"/>
  <c r="N244" i="24"/>
  <c r="M244" i="24"/>
  <c r="L244" i="24"/>
  <c r="F244" i="24"/>
  <c r="E244" i="24"/>
  <c r="D244" i="24"/>
  <c r="C244" i="24"/>
  <c r="O243" i="24"/>
  <c r="N243" i="24"/>
  <c r="M243" i="24"/>
  <c r="L243" i="24"/>
  <c r="G243" i="24"/>
  <c r="F243" i="24"/>
  <c r="E243" i="24"/>
  <c r="D243" i="24"/>
  <c r="C243" i="24"/>
  <c r="O242" i="24"/>
  <c r="N242" i="24"/>
  <c r="M242" i="24"/>
  <c r="L242" i="24"/>
  <c r="F242" i="24"/>
  <c r="E242" i="24"/>
  <c r="D242" i="24"/>
  <c r="C242" i="24"/>
  <c r="O241" i="24"/>
  <c r="N241" i="24"/>
  <c r="M241" i="24"/>
  <c r="L241" i="24"/>
  <c r="F241" i="24"/>
  <c r="E241" i="24"/>
  <c r="D241" i="24"/>
  <c r="C241" i="24"/>
  <c r="O240" i="24"/>
  <c r="N240" i="24"/>
  <c r="M240" i="24"/>
  <c r="L240" i="24"/>
  <c r="F240" i="24"/>
  <c r="E240" i="24"/>
  <c r="D240" i="24"/>
  <c r="C240" i="24"/>
  <c r="O239" i="24"/>
  <c r="N239" i="24"/>
  <c r="M239" i="24"/>
  <c r="L239" i="24"/>
  <c r="G239" i="24"/>
  <c r="F239" i="24"/>
  <c r="E239" i="24"/>
  <c r="D239" i="24"/>
  <c r="C239" i="24"/>
  <c r="O238" i="24"/>
  <c r="N238" i="24"/>
  <c r="M238" i="24"/>
  <c r="L238" i="24"/>
  <c r="H238" i="24"/>
  <c r="F238" i="24"/>
  <c r="E238" i="24"/>
  <c r="D238" i="24"/>
  <c r="C238" i="24"/>
  <c r="Q236" i="24"/>
  <c r="O236" i="24"/>
  <c r="N236" i="24"/>
  <c r="M236" i="24"/>
  <c r="L236" i="24"/>
  <c r="H236" i="24"/>
  <c r="G236" i="24"/>
  <c r="F236" i="24"/>
  <c r="E236" i="24"/>
  <c r="D236" i="24"/>
  <c r="C236" i="24"/>
  <c r="Q235" i="24"/>
  <c r="O235" i="24"/>
  <c r="N235" i="24"/>
  <c r="M235" i="24"/>
  <c r="L235" i="24"/>
  <c r="H235" i="24"/>
  <c r="F235" i="24"/>
  <c r="E235" i="24"/>
  <c r="D235" i="24"/>
  <c r="C235" i="24"/>
  <c r="Q234" i="24"/>
  <c r="O234" i="24"/>
  <c r="N234" i="24"/>
  <c r="M234" i="24"/>
  <c r="L234" i="24"/>
  <c r="H234" i="24"/>
  <c r="G234" i="24"/>
  <c r="F234" i="24"/>
  <c r="E234" i="24"/>
  <c r="D234" i="24"/>
  <c r="C234" i="24"/>
  <c r="O233" i="24"/>
  <c r="N233" i="24"/>
  <c r="M233" i="24"/>
  <c r="L233" i="24"/>
  <c r="H233" i="24"/>
  <c r="F233" i="24"/>
  <c r="E233" i="24"/>
  <c r="D233" i="24"/>
  <c r="C233" i="24"/>
  <c r="O232" i="24"/>
  <c r="N232" i="24"/>
  <c r="M232" i="24"/>
  <c r="L232" i="24"/>
  <c r="G232" i="24"/>
  <c r="F232" i="24"/>
  <c r="E232" i="24"/>
  <c r="D232" i="24"/>
  <c r="C232" i="24"/>
  <c r="O231" i="24"/>
  <c r="N231" i="24"/>
  <c r="M231" i="24"/>
  <c r="L231" i="24"/>
  <c r="F231" i="24"/>
  <c r="E231" i="24"/>
  <c r="D231" i="24"/>
  <c r="C231" i="24"/>
  <c r="O230" i="24"/>
  <c r="N230" i="24"/>
  <c r="M230" i="24"/>
  <c r="L230" i="24"/>
  <c r="G230" i="24"/>
  <c r="F230" i="24"/>
  <c r="E230" i="24"/>
  <c r="D230" i="24"/>
  <c r="C230" i="24"/>
  <c r="O229" i="24"/>
  <c r="N229" i="24"/>
  <c r="M229" i="24"/>
  <c r="L229" i="24"/>
  <c r="F229" i="24"/>
  <c r="E229" i="24"/>
  <c r="D229" i="24"/>
  <c r="C229" i="24"/>
  <c r="O228" i="24"/>
  <c r="N228" i="24"/>
  <c r="M228" i="24"/>
  <c r="L228" i="24"/>
  <c r="F228" i="24"/>
  <c r="E228" i="24"/>
  <c r="D228" i="24"/>
  <c r="C228" i="24"/>
  <c r="O227" i="24"/>
  <c r="N227" i="24"/>
  <c r="M227" i="24"/>
  <c r="L227" i="24"/>
  <c r="F227" i="24"/>
  <c r="E227" i="24"/>
  <c r="D227" i="24"/>
  <c r="C227" i="24"/>
  <c r="O226" i="24"/>
  <c r="N226" i="24"/>
  <c r="M226" i="24"/>
  <c r="L226" i="24"/>
  <c r="G226" i="24"/>
  <c r="F226" i="24"/>
  <c r="E226" i="24"/>
  <c r="D226" i="24"/>
  <c r="C226" i="24"/>
  <c r="O225" i="24"/>
  <c r="N225" i="24"/>
  <c r="M225" i="24"/>
  <c r="L225" i="24"/>
  <c r="H225" i="24"/>
  <c r="F225" i="24"/>
  <c r="E225" i="24"/>
  <c r="D225" i="24"/>
  <c r="C225" i="24"/>
  <c r="Q223" i="24"/>
  <c r="O223" i="24"/>
  <c r="N223" i="24"/>
  <c r="M223" i="24"/>
  <c r="L223" i="24"/>
  <c r="H223" i="24"/>
  <c r="G223" i="24"/>
  <c r="F223" i="24"/>
  <c r="E223" i="24"/>
  <c r="D223" i="24"/>
  <c r="C223" i="24"/>
  <c r="Q222" i="24"/>
  <c r="O222" i="24"/>
  <c r="N222" i="24"/>
  <c r="M222" i="24"/>
  <c r="L222" i="24"/>
  <c r="H222" i="24"/>
  <c r="F222" i="24"/>
  <c r="E222" i="24"/>
  <c r="D222" i="24"/>
  <c r="C222" i="24"/>
  <c r="Q221" i="24"/>
  <c r="O221" i="24"/>
  <c r="N221" i="24"/>
  <c r="M221" i="24"/>
  <c r="L221" i="24"/>
  <c r="H221" i="24"/>
  <c r="G221" i="24"/>
  <c r="F221" i="24"/>
  <c r="E221" i="24"/>
  <c r="D221" i="24"/>
  <c r="C221" i="24"/>
  <c r="O220" i="24"/>
  <c r="N220" i="24"/>
  <c r="M220" i="24"/>
  <c r="L220" i="24"/>
  <c r="H220" i="24"/>
  <c r="F220" i="24"/>
  <c r="E220" i="24"/>
  <c r="D220" i="24"/>
  <c r="C220" i="24"/>
  <c r="O219" i="24"/>
  <c r="N219" i="24"/>
  <c r="M219" i="24"/>
  <c r="L219" i="24"/>
  <c r="G219" i="24"/>
  <c r="F219" i="24"/>
  <c r="E219" i="24"/>
  <c r="D219" i="24"/>
  <c r="C219" i="24"/>
  <c r="Q218" i="24"/>
  <c r="O218" i="24"/>
  <c r="N218" i="24"/>
  <c r="M218" i="24"/>
  <c r="L218" i="24"/>
  <c r="F218" i="24"/>
  <c r="E218" i="24"/>
  <c r="D218" i="24"/>
  <c r="C218" i="24"/>
  <c r="O217" i="24"/>
  <c r="N217" i="24"/>
  <c r="M217" i="24"/>
  <c r="L217" i="24"/>
  <c r="G217" i="24"/>
  <c r="F217" i="24"/>
  <c r="E217" i="24"/>
  <c r="D217" i="24"/>
  <c r="C217" i="24"/>
  <c r="O216" i="24"/>
  <c r="N216" i="24"/>
  <c r="M216" i="24"/>
  <c r="L216" i="24"/>
  <c r="F216" i="24"/>
  <c r="E216" i="24"/>
  <c r="D216" i="24"/>
  <c r="C216" i="24"/>
  <c r="O215" i="24"/>
  <c r="N215" i="24"/>
  <c r="M215" i="24"/>
  <c r="L215" i="24"/>
  <c r="G215" i="24"/>
  <c r="F215" i="24"/>
  <c r="E215" i="24"/>
  <c r="D215" i="24"/>
  <c r="C215" i="24"/>
  <c r="O214" i="24"/>
  <c r="N214" i="24"/>
  <c r="M214" i="24"/>
  <c r="L214" i="24"/>
  <c r="F214" i="24"/>
  <c r="E214" i="24"/>
  <c r="D214" i="24"/>
  <c r="C214" i="24"/>
  <c r="O213" i="24"/>
  <c r="N213" i="24"/>
  <c r="M213" i="24"/>
  <c r="L213" i="24"/>
  <c r="G213" i="24"/>
  <c r="F213" i="24"/>
  <c r="E213" i="24"/>
  <c r="D213" i="24"/>
  <c r="C213" i="24"/>
  <c r="O212" i="24"/>
  <c r="N212" i="24"/>
  <c r="M212" i="24"/>
  <c r="L212" i="24"/>
  <c r="H212" i="24"/>
  <c r="F212" i="24"/>
  <c r="E212" i="24"/>
  <c r="D212" i="24"/>
  <c r="C212" i="24"/>
  <c r="L210" i="24"/>
  <c r="C210" i="24"/>
  <c r="Q207" i="24"/>
  <c r="O207" i="24"/>
  <c r="N207" i="24"/>
  <c r="M207" i="24"/>
  <c r="L207" i="24"/>
  <c r="H207" i="24"/>
  <c r="F207" i="24"/>
  <c r="E207" i="24"/>
  <c r="D207" i="24"/>
  <c r="C207" i="24"/>
  <c r="Q206" i="24"/>
  <c r="P206" i="24"/>
  <c r="O206" i="24"/>
  <c r="N206" i="24"/>
  <c r="M206" i="24"/>
  <c r="L206" i="24"/>
  <c r="H206" i="24"/>
  <c r="F206" i="24"/>
  <c r="E206" i="24"/>
  <c r="D206" i="24"/>
  <c r="C206" i="24"/>
  <c r="Q205" i="24"/>
  <c r="O205" i="24"/>
  <c r="N205" i="24"/>
  <c r="M205" i="24"/>
  <c r="L205" i="24"/>
  <c r="H205" i="24"/>
  <c r="F205" i="24"/>
  <c r="E205" i="24"/>
  <c r="D205" i="24"/>
  <c r="C205" i="24"/>
  <c r="Q204" i="24"/>
  <c r="P204" i="24"/>
  <c r="O204" i="24"/>
  <c r="N204" i="24"/>
  <c r="M204" i="24"/>
  <c r="L204" i="24"/>
  <c r="F204" i="24"/>
  <c r="E204" i="24"/>
  <c r="D204" i="24"/>
  <c r="C204" i="24"/>
  <c r="O203" i="24"/>
  <c r="N203" i="24"/>
  <c r="M203" i="24"/>
  <c r="L203" i="24"/>
  <c r="F203" i="24"/>
  <c r="E203" i="24"/>
  <c r="D203" i="24"/>
  <c r="C203" i="24"/>
  <c r="Q202" i="24"/>
  <c r="P202" i="24"/>
  <c r="O202" i="24"/>
  <c r="N202" i="24"/>
  <c r="M202" i="24"/>
  <c r="L202" i="24"/>
  <c r="F202" i="24"/>
  <c r="E202" i="24"/>
  <c r="D202" i="24"/>
  <c r="C202" i="24"/>
  <c r="Q201" i="24"/>
  <c r="O201" i="24"/>
  <c r="N201" i="24"/>
  <c r="M201" i="24"/>
  <c r="L201" i="24"/>
  <c r="F201" i="24"/>
  <c r="E201" i="24"/>
  <c r="D201" i="24"/>
  <c r="C201" i="24"/>
  <c r="Q200" i="24"/>
  <c r="P200" i="24"/>
  <c r="O200" i="24"/>
  <c r="N200" i="24"/>
  <c r="M200" i="24"/>
  <c r="L200" i="24"/>
  <c r="H200" i="24"/>
  <c r="F200" i="24"/>
  <c r="E200" i="24"/>
  <c r="D200" i="24"/>
  <c r="C200" i="24"/>
  <c r="O199" i="24"/>
  <c r="N199" i="24"/>
  <c r="M199" i="24"/>
  <c r="L199" i="24"/>
  <c r="H199" i="24"/>
  <c r="F199" i="24"/>
  <c r="E199" i="24"/>
  <c r="D199" i="24"/>
  <c r="C199" i="24"/>
  <c r="P198" i="24"/>
  <c r="O198" i="24"/>
  <c r="N198" i="24"/>
  <c r="M198" i="24"/>
  <c r="L198" i="24"/>
  <c r="F198" i="24"/>
  <c r="E198" i="24"/>
  <c r="D198" i="24"/>
  <c r="C198" i="24"/>
  <c r="Q197" i="24"/>
  <c r="O197" i="24"/>
  <c r="N197" i="24"/>
  <c r="M197" i="24"/>
  <c r="L197" i="24"/>
  <c r="H197" i="24"/>
  <c r="F197" i="24"/>
  <c r="E197" i="24"/>
  <c r="D197" i="24"/>
  <c r="C197" i="24"/>
  <c r="Q196" i="24"/>
  <c r="P196" i="24"/>
  <c r="O196" i="24"/>
  <c r="N196" i="24"/>
  <c r="M196" i="24"/>
  <c r="L196" i="24"/>
  <c r="F196" i="24"/>
  <c r="E196" i="24"/>
  <c r="D196" i="24"/>
  <c r="C196" i="24"/>
  <c r="Q194" i="24"/>
  <c r="O194" i="24"/>
  <c r="N194" i="24"/>
  <c r="M194" i="24"/>
  <c r="L194" i="24"/>
  <c r="H194" i="24"/>
  <c r="F194" i="24"/>
  <c r="E194" i="24"/>
  <c r="D194" i="24"/>
  <c r="C194" i="24"/>
  <c r="Q193" i="24"/>
  <c r="P193" i="24"/>
  <c r="O193" i="24"/>
  <c r="N193" i="24"/>
  <c r="M193" i="24"/>
  <c r="L193" i="24"/>
  <c r="H193" i="24"/>
  <c r="F193" i="24"/>
  <c r="E193" i="24"/>
  <c r="D193" i="24"/>
  <c r="C193" i="24"/>
  <c r="Q192" i="24"/>
  <c r="O192" i="24"/>
  <c r="N192" i="24"/>
  <c r="M192" i="24"/>
  <c r="L192" i="24"/>
  <c r="H192" i="24"/>
  <c r="F192" i="24"/>
  <c r="E192" i="24"/>
  <c r="D192" i="24"/>
  <c r="C192" i="24"/>
  <c r="P191" i="24"/>
  <c r="O191" i="24"/>
  <c r="N191" i="24"/>
  <c r="M191" i="24"/>
  <c r="L191" i="24"/>
  <c r="F191" i="24"/>
  <c r="E191" i="24"/>
  <c r="D191" i="24"/>
  <c r="C191" i="24"/>
  <c r="O190" i="24"/>
  <c r="N190" i="24"/>
  <c r="M190" i="24"/>
  <c r="L190" i="24"/>
  <c r="F190" i="24"/>
  <c r="E190" i="24"/>
  <c r="D190" i="24"/>
  <c r="C190" i="24"/>
  <c r="P189" i="24"/>
  <c r="O189" i="24"/>
  <c r="N189" i="24"/>
  <c r="M189" i="24"/>
  <c r="L189" i="24"/>
  <c r="F189" i="24"/>
  <c r="E189" i="24"/>
  <c r="D189" i="24"/>
  <c r="C189" i="24"/>
  <c r="O188" i="24"/>
  <c r="N188" i="24"/>
  <c r="M188" i="24"/>
  <c r="L188" i="24"/>
  <c r="F188" i="24"/>
  <c r="E188" i="24"/>
  <c r="D188" i="24"/>
  <c r="C188" i="24"/>
  <c r="P187" i="24"/>
  <c r="O187" i="24"/>
  <c r="N187" i="24"/>
  <c r="M187" i="24"/>
  <c r="L187" i="24"/>
  <c r="F187" i="24"/>
  <c r="E187" i="24"/>
  <c r="D187" i="24"/>
  <c r="C187" i="24"/>
  <c r="O186" i="24"/>
  <c r="N186" i="24"/>
  <c r="M186" i="24"/>
  <c r="L186" i="24"/>
  <c r="F186" i="24"/>
  <c r="E186" i="24"/>
  <c r="D186" i="24"/>
  <c r="C186" i="24"/>
  <c r="P185" i="24"/>
  <c r="O185" i="24"/>
  <c r="N185" i="24"/>
  <c r="M185" i="24"/>
  <c r="L185" i="24"/>
  <c r="F185" i="24"/>
  <c r="E185" i="24"/>
  <c r="D185" i="24"/>
  <c r="C185" i="24"/>
  <c r="O184" i="24"/>
  <c r="N184" i="24"/>
  <c r="M184" i="24"/>
  <c r="L184" i="24"/>
  <c r="F184" i="24"/>
  <c r="E184" i="24"/>
  <c r="D184" i="24"/>
  <c r="C184" i="24"/>
  <c r="P183" i="24"/>
  <c r="O183" i="24"/>
  <c r="N183" i="24"/>
  <c r="M183" i="24"/>
  <c r="L183" i="24"/>
  <c r="F183" i="24"/>
  <c r="E183" i="24"/>
  <c r="D183" i="24"/>
  <c r="C183" i="24"/>
  <c r="Q181" i="24"/>
  <c r="O181" i="24"/>
  <c r="N181" i="24"/>
  <c r="M181" i="24"/>
  <c r="L181" i="24"/>
  <c r="H181" i="24"/>
  <c r="F181" i="24"/>
  <c r="E181" i="24"/>
  <c r="D181" i="24"/>
  <c r="C181" i="24"/>
  <c r="Q180" i="24"/>
  <c r="P180" i="24"/>
  <c r="O180" i="24"/>
  <c r="N180" i="24"/>
  <c r="M180" i="24"/>
  <c r="L180" i="24"/>
  <c r="H180" i="24"/>
  <c r="F180" i="24"/>
  <c r="E180" i="24"/>
  <c r="D180" i="24"/>
  <c r="C180" i="24"/>
  <c r="Q179" i="24"/>
  <c r="O179" i="24"/>
  <c r="N179" i="24"/>
  <c r="M179" i="24"/>
  <c r="L179" i="24"/>
  <c r="H179" i="24"/>
  <c r="F179" i="24"/>
  <c r="E179" i="24"/>
  <c r="D179" i="24"/>
  <c r="C179" i="24"/>
  <c r="P178" i="24"/>
  <c r="O178" i="24"/>
  <c r="N178" i="24"/>
  <c r="M178" i="24"/>
  <c r="L178" i="24"/>
  <c r="F178" i="24"/>
  <c r="E178" i="24"/>
  <c r="D178" i="24"/>
  <c r="C178" i="24"/>
  <c r="O177" i="24"/>
  <c r="N177" i="24"/>
  <c r="M177" i="24"/>
  <c r="L177" i="24"/>
  <c r="F177" i="24"/>
  <c r="E177" i="24"/>
  <c r="D177" i="24"/>
  <c r="C177" i="24"/>
  <c r="P176" i="24"/>
  <c r="O176" i="24"/>
  <c r="N176" i="24"/>
  <c r="M176" i="24"/>
  <c r="L176" i="24"/>
  <c r="F176" i="24"/>
  <c r="E176" i="24"/>
  <c r="D176" i="24"/>
  <c r="C176" i="24"/>
  <c r="O175" i="24"/>
  <c r="N175" i="24"/>
  <c r="M175" i="24"/>
  <c r="L175" i="24"/>
  <c r="F175" i="24"/>
  <c r="E175" i="24"/>
  <c r="D175" i="24"/>
  <c r="C175" i="24"/>
  <c r="O174" i="24"/>
  <c r="N174" i="24"/>
  <c r="M174" i="24"/>
  <c r="L174" i="24"/>
  <c r="F174" i="24"/>
  <c r="E174" i="24"/>
  <c r="D174" i="24"/>
  <c r="C174" i="24"/>
  <c r="O173" i="24"/>
  <c r="N173" i="24"/>
  <c r="M173" i="24"/>
  <c r="L173" i="24"/>
  <c r="F173" i="24"/>
  <c r="E173" i="24"/>
  <c r="D173" i="24"/>
  <c r="C173" i="24"/>
  <c r="P172" i="24"/>
  <c r="O172" i="24"/>
  <c r="N172" i="24"/>
  <c r="M172" i="24"/>
  <c r="L172" i="24"/>
  <c r="F172" i="24"/>
  <c r="E172" i="24"/>
  <c r="D172" i="24"/>
  <c r="C172" i="24"/>
  <c r="O171" i="24"/>
  <c r="N171" i="24"/>
  <c r="M171" i="24"/>
  <c r="L171" i="24"/>
  <c r="F171" i="24"/>
  <c r="E171" i="24"/>
  <c r="D171" i="24"/>
  <c r="C171" i="24"/>
  <c r="P170" i="24"/>
  <c r="O170" i="24"/>
  <c r="N170" i="24"/>
  <c r="M170" i="24"/>
  <c r="L170" i="24"/>
  <c r="F170" i="24"/>
  <c r="E170" i="24"/>
  <c r="D170" i="24"/>
  <c r="C170" i="24"/>
  <c r="Q168" i="24"/>
  <c r="O168" i="24"/>
  <c r="N168" i="24"/>
  <c r="M168" i="24"/>
  <c r="L168" i="24"/>
  <c r="H168" i="24"/>
  <c r="F168" i="24"/>
  <c r="E168" i="24"/>
  <c r="D168" i="24"/>
  <c r="C168" i="24"/>
  <c r="Q167" i="24"/>
  <c r="P167" i="24"/>
  <c r="O167" i="24"/>
  <c r="N167" i="24"/>
  <c r="M167" i="24"/>
  <c r="L167" i="24"/>
  <c r="H167" i="24"/>
  <c r="F167" i="24"/>
  <c r="E167" i="24"/>
  <c r="D167" i="24"/>
  <c r="C167" i="24"/>
  <c r="Q166" i="24"/>
  <c r="O166" i="24"/>
  <c r="N166" i="24"/>
  <c r="M166" i="24"/>
  <c r="L166" i="24"/>
  <c r="H166" i="24"/>
  <c r="F166" i="24"/>
  <c r="E166" i="24"/>
  <c r="D166" i="24"/>
  <c r="C166" i="24"/>
  <c r="P165" i="24"/>
  <c r="O165" i="24"/>
  <c r="N165" i="24"/>
  <c r="M165" i="24"/>
  <c r="L165" i="24"/>
  <c r="F165" i="24"/>
  <c r="E165" i="24"/>
  <c r="D165" i="24"/>
  <c r="C165" i="24"/>
  <c r="O164" i="24"/>
  <c r="N164" i="24"/>
  <c r="M164" i="24"/>
  <c r="L164" i="24"/>
  <c r="F164" i="24"/>
  <c r="E164" i="24"/>
  <c r="D164" i="24"/>
  <c r="C164" i="24"/>
  <c r="P163" i="24"/>
  <c r="O163" i="24"/>
  <c r="N163" i="24"/>
  <c r="M163" i="24"/>
  <c r="L163" i="24"/>
  <c r="F163" i="24"/>
  <c r="E163" i="24"/>
  <c r="D163" i="24"/>
  <c r="C163" i="24"/>
  <c r="O162" i="24"/>
  <c r="N162" i="24"/>
  <c r="M162" i="24"/>
  <c r="L162" i="24"/>
  <c r="F162" i="24"/>
  <c r="E162" i="24"/>
  <c r="D162" i="24"/>
  <c r="C162" i="24"/>
  <c r="P161" i="24"/>
  <c r="O161" i="24"/>
  <c r="N161" i="24"/>
  <c r="M161" i="24"/>
  <c r="L161" i="24"/>
  <c r="F161" i="24"/>
  <c r="E161" i="24"/>
  <c r="D161" i="24"/>
  <c r="C161" i="24"/>
  <c r="O160" i="24"/>
  <c r="N160" i="24"/>
  <c r="M160" i="24"/>
  <c r="L160" i="24"/>
  <c r="F160" i="24"/>
  <c r="E160" i="24"/>
  <c r="D160" i="24"/>
  <c r="C160" i="24"/>
  <c r="P159" i="24"/>
  <c r="O159" i="24"/>
  <c r="N159" i="24"/>
  <c r="M159" i="24"/>
  <c r="L159" i="24"/>
  <c r="F159" i="24"/>
  <c r="E159" i="24"/>
  <c r="D159" i="24"/>
  <c r="C159" i="24"/>
  <c r="O158" i="24"/>
  <c r="N158" i="24"/>
  <c r="M158" i="24"/>
  <c r="L158" i="24"/>
  <c r="F158" i="24"/>
  <c r="E158" i="24"/>
  <c r="D158" i="24"/>
  <c r="C158" i="24"/>
  <c r="P157" i="24"/>
  <c r="O157" i="24"/>
  <c r="N157" i="24"/>
  <c r="M157" i="24"/>
  <c r="L157" i="24"/>
  <c r="F157" i="24"/>
  <c r="E157" i="24"/>
  <c r="D157" i="24"/>
  <c r="C157" i="24"/>
  <c r="Q155" i="24"/>
  <c r="O155" i="24"/>
  <c r="N155" i="24"/>
  <c r="M155" i="24"/>
  <c r="L155" i="24"/>
  <c r="H155" i="24"/>
  <c r="F155" i="24"/>
  <c r="E155" i="24"/>
  <c r="D155" i="24"/>
  <c r="C155" i="24"/>
  <c r="Q154" i="24"/>
  <c r="P154" i="24"/>
  <c r="O154" i="24"/>
  <c r="N154" i="24"/>
  <c r="M154" i="24"/>
  <c r="L154" i="24"/>
  <c r="H154" i="24"/>
  <c r="F154" i="24"/>
  <c r="E154" i="24"/>
  <c r="D154" i="24"/>
  <c r="C154" i="24"/>
  <c r="Q153" i="24"/>
  <c r="O153" i="24"/>
  <c r="N153" i="24"/>
  <c r="M153" i="24"/>
  <c r="L153" i="24"/>
  <c r="H153" i="24"/>
  <c r="F153" i="24"/>
  <c r="E153" i="24"/>
  <c r="D153" i="24"/>
  <c r="C153" i="24"/>
  <c r="P152" i="24"/>
  <c r="O152" i="24"/>
  <c r="N152" i="24"/>
  <c r="M152" i="24"/>
  <c r="L152" i="24"/>
  <c r="F152" i="24"/>
  <c r="E152" i="24"/>
  <c r="D152" i="24"/>
  <c r="C152" i="24"/>
  <c r="O151" i="24"/>
  <c r="N151" i="24"/>
  <c r="M151" i="24"/>
  <c r="L151" i="24"/>
  <c r="F151" i="24"/>
  <c r="E151" i="24"/>
  <c r="D151" i="24"/>
  <c r="C151" i="24"/>
  <c r="P150" i="24"/>
  <c r="O150" i="24"/>
  <c r="N150" i="24"/>
  <c r="M150" i="24"/>
  <c r="L150" i="24"/>
  <c r="F150" i="24"/>
  <c r="E150" i="24"/>
  <c r="D150" i="24"/>
  <c r="C150" i="24"/>
  <c r="O149" i="24"/>
  <c r="N149" i="24"/>
  <c r="M149" i="24"/>
  <c r="L149" i="24"/>
  <c r="F149" i="24"/>
  <c r="E149" i="24"/>
  <c r="D149" i="24"/>
  <c r="C149" i="24"/>
  <c r="P148" i="24"/>
  <c r="O148" i="24"/>
  <c r="N148" i="24"/>
  <c r="M148" i="24"/>
  <c r="L148" i="24"/>
  <c r="F148" i="24"/>
  <c r="E148" i="24"/>
  <c r="D148" i="24"/>
  <c r="C148" i="24"/>
  <c r="O147" i="24"/>
  <c r="N147" i="24"/>
  <c r="M147" i="24"/>
  <c r="L147" i="24"/>
  <c r="F147" i="24"/>
  <c r="E147" i="24"/>
  <c r="D147" i="24"/>
  <c r="C147" i="24"/>
  <c r="P146" i="24"/>
  <c r="O146" i="24"/>
  <c r="N146" i="24"/>
  <c r="M146" i="24"/>
  <c r="L146" i="24"/>
  <c r="F146" i="24"/>
  <c r="E146" i="24"/>
  <c r="D146" i="24"/>
  <c r="C146" i="24"/>
  <c r="O145" i="24"/>
  <c r="N145" i="24"/>
  <c r="M145" i="24"/>
  <c r="L145" i="24"/>
  <c r="F145" i="24"/>
  <c r="E145" i="24"/>
  <c r="D145" i="24"/>
  <c r="C145" i="24"/>
  <c r="P144" i="24"/>
  <c r="O144" i="24"/>
  <c r="N144" i="24"/>
  <c r="M144" i="24"/>
  <c r="L144" i="24"/>
  <c r="F144" i="24"/>
  <c r="E144" i="24"/>
  <c r="D144" i="24"/>
  <c r="C144" i="24"/>
  <c r="Q142" i="24"/>
  <c r="O142" i="24"/>
  <c r="N142" i="24"/>
  <c r="M142" i="24"/>
  <c r="L142" i="24"/>
  <c r="H142" i="24"/>
  <c r="F142" i="24"/>
  <c r="E142" i="24"/>
  <c r="D142" i="24"/>
  <c r="C142" i="24"/>
  <c r="Q141" i="24"/>
  <c r="P141" i="24"/>
  <c r="O141" i="24"/>
  <c r="N141" i="24"/>
  <c r="M141" i="24"/>
  <c r="L141" i="24"/>
  <c r="H141" i="24"/>
  <c r="F141" i="24"/>
  <c r="E141" i="24"/>
  <c r="D141" i="24"/>
  <c r="C141" i="24"/>
  <c r="Q140" i="24"/>
  <c r="O140" i="24"/>
  <c r="N140" i="24"/>
  <c r="M140" i="24"/>
  <c r="L140" i="24"/>
  <c r="H140" i="24"/>
  <c r="F140" i="24"/>
  <c r="E140" i="24"/>
  <c r="D140" i="24"/>
  <c r="C140" i="24"/>
  <c r="Q139" i="24"/>
  <c r="P139" i="24"/>
  <c r="O139" i="24"/>
  <c r="N139" i="24"/>
  <c r="M139" i="24"/>
  <c r="L139" i="24"/>
  <c r="F139" i="24"/>
  <c r="E139" i="24"/>
  <c r="D139" i="24"/>
  <c r="C139" i="24"/>
  <c r="O138" i="24"/>
  <c r="N138" i="24"/>
  <c r="M138" i="24"/>
  <c r="L138" i="24"/>
  <c r="F138" i="24"/>
  <c r="E138" i="24"/>
  <c r="D138" i="24"/>
  <c r="C138" i="24"/>
  <c r="Q137" i="24"/>
  <c r="P137" i="24"/>
  <c r="O137" i="24"/>
  <c r="N137" i="24"/>
  <c r="M137" i="24"/>
  <c r="L137" i="24"/>
  <c r="F137" i="24"/>
  <c r="E137" i="24"/>
  <c r="D137" i="24"/>
  <c r="C137" i="24"/>
  <c r="Q136" i="24"/>
  <c r="O136" i="24"/>
  <c r="N136" i="24"/>
  <c r="M136" i="24"/>
  <c r="L136" i="24"/>
  <c r="F136" i="24"/>
  <c r="E136" i="24"/>
  <c r="D136" i="24"/>
  <c r="C136" i="24"/>
  <c r="P135" i="24"/>
  <c r="O135" i="24"/>
  <c r="N135" i="24"/>
  <c r="M135" i="24"/>
  <c r="L135" i="24"/>
  <c r="F135" i="24"/>
  <c r="E135" i="24"/>
  <c r="D135" i="24"/>
  <c r="C135" i="24"/>
  <c r="Q134" i="24"/>
  <c r="O134" i="24"/>
  <c r="N134" i="24"/>
  <c r="M134" i="24"/>
  <c r="L134" i="24"/>
  <c r="F134" i="24"/>
  <c r="E134" i="24"/>
  <c r="D134" i="24"/>
  <c r="C134" i="24"/>
  <c r="P133" i="24"/>
  <c r="O133" i="24"/>
  <c r="N133" i="24"/>
  <c r="M133" i="24"/>
  <c r="L133" i="24"/>
  <c r="F133" i="24"/>
  <c r="E133" i="24"/>
  <c r="D133" i="24"/>
  <c r="C133" i="24"/>
  <c r="Q132" i="24"/>
  <c r="O132" i="24"/>
  <c r="N132" i="24"/>
  <c r="M132" i="24"/>
  <c r="L132" i="24"/>
  <c r="F132" i="24"/>
  <c r="E132" i="24"/>
  <c r="D132" i="24"/>
  <c r="C132" i="24"/>
  <c r="Q131" i="24"/>
  <c r="P131" i="24"/>
  <c r="O131" i="24"/>
  <c r="N131" i="24"/>
  <c r="M131" i="24"/>
  <c r="L131" i="24"/>
  <c r="F131" i="24"/>
  <c r="E131" i="24"/>
  <c r="D131" i="24"/>
  <c r="C131" i="24"/>
  <c r="L129" i="24"/>
  <c r="C129" i="24"/>
  <c r="J128" i="24"/>
  <c r="T124" i="24"/>
  <c r="P262" i="24" s="1"/>
  <c r="M124" i="24"/>
  <c r="P261" i="24" s="1"/>
  <c r="F124" i="24"/>
  <c r="P260" i="24" s="1"/>
  <c r="T123" i="24"/>
  <c r="P249" i="24" s="1"/>
  <c r="M123" i="24"/>
  <c r="P248" i="24" s="1"/>
  <c r="F123" i="24"/>
  <c r="P247" i="24" s="1"/>
  <c r="T122" i="24"/>
  <c r="P236" i="24" s="1"/>
  <c r="M122" i="24"/>
  <c r="P235" i="24" s="1"/>
  <c r="F122" i="24"/>
  <c r="P234" i="24" s="1"/>
  <c r="T121" i="24"/>
  <c r="P223" i="24" s="1"/>
  <c r="M121" i="24"/>
  <c r="P222" i="24" s="1"/>
  <c r="F121" i="24"/>
  <c r="P221" i="24" s="1"/>
  <c r="S120" i="24"/>
  <c r="R120" i="24"/>
  <c r="Q120" i="24"/>
  <c r="L120" i="24"/>
  <c r="K120" i="24"/>
  <c r="J120" i="24"/>
  <c r="E120" i="24"/>
  <c r="D120" i="24"/>
  <c r="C120" i="24"/>
  <c r="P119" i="24"/>
  <c r="T118" i="24"/>
  <c r="M118" i="24"/>
  <c r="G261" i="24" s="1"/>
  <c r="F118" i="24"/>
  <c r="T117" i="24"/>
  <c r="M117" i="24"/>
  <c r="G248" i="24" s="1"/>
  <c r="F117" i="24"/>
  <c r="T116" i="24"/>
  <c r="M116" i="24"/>
  <c r="G235" i="24" s="1"/>
  <c r="F116" i="24"/>
  <c r="T115" i="24"/>
  <c r="M115" i="24"/>
  <c r="G222" i="24" s="1"/>
  <c r="F115" i="24"/>
  <c r="S114" i="24"/>
  <c r="R114" i="24"/>
  <c r="Q114" i="24"/>
  <c r="L114" i="24"/>
  <c r="K114" i="24"/>
  <c r="J114" i="24"/>
  <c r="E114" i="24"/>
  <c r="D114" i="24"/>
  <c r="C114" i="24"/>
  <c r="P113" i="24"/>
  <c r="T112" i="24"/>
  <c r="P207" i="24" s="1"/>
  <c r="M112" i="24"/>
  <c r="F112" i="24"/>
  <c r="P205" i="24" s="1"/>
  <c r="T111" i="24"/>
  <c r="P194" i="24" s="1"/>
  <c r="M111" i="24"/>
  <c r="F111" i="24"/>
  <c r="P192" i="24" s="1"/>
  <c r="T110" i="24"/>
  <c r="P181" i="24" s="1"/>
  <c r="M110" i="24"/>
  <c r="F110" i="24"/>
  <c r="P179" i="24" s="1"/>
  <c r="T109" i="24"/>
  <c r="P168" i="24" s="1"/>
  <c r="M109" i="24"/>
  <c r="F109" i="24"/>
  <c r="P166" i="24" s="1"/>
  <c r="T108" i="24"/>
  <c r="P155" i="24" s="1"/>
  <c r="M108" i="24"/>
  <c r="F108" i="24"/>
  <c r="P153" i="24" s="1"/>
  <c r="T107" i="24"/>
  <c r="P142" i="24" s="1"/>
  <c r="M107" i="24"/>
  <c r="F107" i="24"/>
  <c r="P140" i="24" s="1"/>
  <c r="S106" i="24"/>
  <c r="R106" i="24"/>
  <c r="Q106" i="24"/>
  <c r="L106" i="24"/>
  <c r="K106" i="24"/>
  <c r="J106" i="24"/>
  <c r="E106" i="24"/>
  <c r="D106" i="24"/>
  <c r="C106" i="24"/>
  <c r="P105" i="24"/>
  <c r="I105" i="24"/>
  <c r="T104" i="24"/>
  <c r="G207" i="24" s="1"/>
  <c r="M104" i="24"/>
  <c r="G206" i="24" s="1"/>
  <c r="F104" i="24"/>
  <c r="G205" i="24" s="1"/>
  <c r="T103" i="24"/>
  <c r="G194" i="24" s="1"/>
  <c r="M103" i="24"/>
  <c r="G193" i="24" s="1"/>
  <c r="F103" i="24"/>
  <c r="G192" i="24" s="1"/>
  <c r="T102" i="24"/>
  <c r="G181" i="24" s="1"/>
  <c r="M102" i="24"/>
  <c r="G180" i="24" s="1"/>
  <c r="F102" i="24"/>
  <c r="G179" i="24" s="1"/>
  <c r="T101" i="24"/>
  <c r="G168" i="24" s="1"/>
  <c r="M101" i="24"/>
  <c r="G167" i="24" s="1"/>
  <c r="F101" i="24"/>
  <c r="G166" i="24" s="1"/>
  <c r="T100" i="24"/>
  <c r="G155" i="24" s="1"/>
  <c r="M100" i="24"/>
  <c r="G154" i="24" s="1"/>
  <c r="F100" i="24"/>
  <c r="G153" i="24" s="1"/>
  <c r="T99" i="24"/>
  <c r="G142" i="24" s="1"/>
  <c r="M99" i="24"/>
  <c r="G141" i="24" s="1"/>
  <c r="F99" i="24"/>
  <c r="G140" i="24" s="1"/>
  <c r="P97" i="24"/>
  <c r="I97" i="24"/>
  <c r="U93" i="24"/>
  <c r="Q259" i="24" s="1"/>
  <c r="T93" i="24"/>
  <c r="P259" i="24" s="1"/>
  <c r="N93" i="24"/>
  <c r="Q258" i="24" s="1"/>
  <c r="M93" i="24"/>
  <c r="P258" i="24" s="1"/>
  <c r="G93" i="24"/>
  <c r="Q257" i="24" s="1"/>
  <c r="F93" i="24"/>
  <c r="P257" i="24" s="1"/>
  <c r="U92" i="24"/>
  <c r="Q246" i="24" s="1"/>
  <c r="T92" i="24"/>
  <c r="P246" i="24" s="1"/>
  <c r="N92" i="24"/>
  <c r="Q245" i="24" s="1"/>
  <c r="M92" i="24"/>
  <c r="P245" i="24" s="1"/>
  <c r="G92" i="24"/>
  <c r="Q244" i="24" s="1"/>
  <c r="F92" i="24"/>
  <c r="P244" i="24" s="1"/>
  <c r="U91" i="24"/>
  <c r="Q233" i="24" s="1"/>
  <c r="T91" i="24"/>
  <c r="P233" i="24" s="1"/>
  <c r="N91" i="24"/>
  <c r="Q232" i="24" s="1"/>
  <c r="M91" i="24"/>
  <c r="P232" i="24" s="1"/>
  <c r="G91" i="24"/>
  <c r="Q231" i="24" s="1"/>
  <c r="F91" i="24"/>
  <c r="P231" i="24" s="1"/>
  <c r="U90" i="24"/>
  <c r="Q220" i="24" s="1"/>
  <c r="T90" i="24"/>
  <c r="P220" i="24" s="1"/>
  <c r="N90" i="24"/>
  <c r="Q219" i="24" s="1"/>
  <c r="M90" i="24"/>
  <c r="P219" i="24" s="1"/>
  <c r="F90" i="24"/>
  <c r="P218" i="24" s="1"/>
  <c r="S89" i="24"/>
  <c r="R89" i="24"/>
  <c r="Q89" i="24"/>
  <c r="L89" i="24"/>
  <c r="K89" i="24"/>
  <c r="J89" i="24"/>
  <c r="E89" i="24"/>
  <c r="D89" i="24"/>
  <c r="C89" i="24"/>
  <c r="P88" i="24"/>
  <c r="T87" i="24"/>
  <c r="G259" i="24" s="1"/>
  <c r="N87" i="24"/>
  <c r="H258" i="24" s="1"/>
  <c r="M87" i="24"/>
  <c r="G87" i="24"/>
  <c r="H257" i="24" s="1"/>
  <c r="F87" i="24"/>
  <c r="G257" i="24" s="1"/>
  <c r="T86" i="24"/>
  <c r="G246" i="24" s="1"/>
  <c r="N86" i="24"/>
  <c r="H245" i="24" s="1"/>
  <c r="M86" i="24"/>
  <c r="G86" i="24"/>
  <c r="H244" i="24" s="1"/>
  <c r="F86" i="24"/>
  <c r="G244" i="24" s="1"/>
  <c r="T85" i="24"/>
  <c r="G233" i="24" s="1"/>
  <c r="N85" i="24"/>
  <c r="H232" i="24" s="1"/>
  <c r="M85" i="24"/>
  <c r="G85" i="24"/>
  <c r="H231" i="24" s="1"/>
  <c r="F85" i="24"/>
  <c r="G231" i="24" s="1"/>
  <c r="T84" i="24"/>
  <c r="G220" i="24" s="1"/>
  <c r="N84" i="24"/>
  <c r="H219" i="24" s="1"/>
  <c r="M84" i="24"/>
  <c r="G84" i="24"/>
  <c r="H218" i="24" s="1"/>
  <c r="F84" i="24"/>
  <c r="G218" i="24" s="1"/>
  <c r="S83" i="24"/>
  <c r="R83" i="24"/>
  <c r="Q83" i="24"/>
  <c r="L83" i="24"/>
  <c r="K83" i="24"/>
  <c r="J83" i="24"/>
  <c r="E83" i="24"/>
  <c r="D83" i="24"/>
  <c r="C83" i="24"/>
  <c r="P82" i="24"/>
  <c r="T81" i="24"/>
  <c r="N81" i="24"/>
  <c r="Q203" i="24" s="1"/>
  <c r="M81" i="24"/>
  <c r="P203" i="24" s="1"/>
  <c r="F81" i="24"/>
  <c r="U80" i="24"/>
  <c r="Q191" i="24" s="1"/>
  <c r="T80" i="24"/>
  <c r="N80" i="24"/>
  <c r="Q190" i="24" s="1"/>
  <c r="M80" i="24"/>
  <c r="P190" i="24" s="1"/>
  <c r="G80" i="24"/>
  <c r="Q189" i="24" s="1"/>
  <c r="F80" i="24"/>
  <c r="U79" i="24"/>
  <c r="Q178" i="24" s="1"/>
  <c r="T79" i="24"/>
  <c r="N79" i="24"/>
  <c r="Q177" i="24" s="1"/>
  <c r="M79" i="24"/>
  <c r="P177" i="24" s="1"/>
  <c r="G79" i="24"/>
  <c r="Q176" i="24" s="1"/>
  <c r="F79" i="24"/>
  <c r="U78" i="24"/>
  <c r="Q165" i="24" s="1"/>
  <c r="T78" i="24"/>
  <c r="N78" i="24"/>
  <c r="Q164" i="24" s="1"/>
  <c r="M78" i="24"/>
  <c r="P164" i="24" s="1"/>
  <c r="G78" i="24"/>
  <c r="Q163" i="24" s="1"/>
  <c r="F78" i="24"/>
  <c r="U77" i="24"/>
  <c r="Q152" i="24" s="1"/>
  <c r="T77" i="24"/>
  <c r="N77" i="24"/>
  <c r="Q151" i="24" s="1"/>
  <c r="M77" i="24"/>
  <c r="P151" i="24" s="1"/>
  <c r="G77" i="24"/>
  <c r="Q150" i="24" s="1"/>
  <c r="F77" i="24"/>
  <c r="T76" i="24"/>
  <c r="N76" i="24"/>
  <c r="Q138" i="24" s="1"/>
  <c r="M76" i="24"/>
  <c r="P138" i="24" s="1"/>
  <c r="F76" i="24"/>
  <c r="S75" i="24"/>
  <c r="R75" i="24"/>
  <c r="Q75" i="24"/>
  <c r="L75" i="24"/>
  <c r="K75" i="24"/>
  <c r="J75" i="24"/>
  <c r="E75" i="24"/>
  <c r="D75" i="24"/>
  <c r="C75" i="24"/>
  <c r="P74" i="24"/>
  <c r="I74" i="24"/>
  <c r="U73" i="24"/>
  <c r="H204" i="24" s="1"/>
  <c r="T73" i="24"/>
  <c r="G204" i="24" s="1"/>
  <c r="N73" i="24"/>
  <c r="H203" i="24" s="1"/>
  <c r="M73" i="24"/>
  <c r="G203" i="24" s="1"/>
  <c r="G73" i="24"/>
  <c r="H202" i="24" s="1"/>
  <c r="F73" i="24"/>
  <c r="G202" i="24" s="1"/>
  <c r="U72" i="24"/>
  <c r="H191" i="24" s="1"/>
  <c r="T72" i="24"/>
  <c r="G191" i="24" s="1"/>
  <c r="N72" i="24"/>
  <c r="H190" i="24" s="1"/>
  <c r="M72" i="24"/>
  <c r="G190" i="24" s="1"/>
  <c r="G72" i="24"/>
  <c r="H189" i="24" s="1"/>
  <c r="F72" i="24"/>
  <c r="G189" i="24" s="1"/>
  <c r="U71" i="24"/>
  <c r="H178" i="24" s="1"/>
  <c r="T71" i="24"/>
  <c r="G178" i="24" s="1"/>
  <c r="N71" i="24"/>
  <c r="H177" i="24" s="1"/>
  <c r="M71" i="24"/>
  <c r="G177" i="24" s="1"/>
  <c r="G71" i="24"/>
  <c r="H176" i="24" s="1"/>
  <c r="F71" i="24"/>
  <c r="G176" i="24" s="1"/>
  <c r="U70" i="24"/>
  <c r="H165" i="24" s="1"/>
  <c r="T70" i="24"/>
  <c r="G165" i="24" s="1"/>
  <c r="N70" i="24"/>
  <c r="H164" i="24" s="1"/>
  <c r="M70" i="24"/>
  <c r="G164" i="24" s="1"/>
  <c r="G70" i="24"/>
  <c r="H163" i="24" s="1"/>
  <c r="F70" i="24"/>
  <c r="G163" i="24" s="1"/>
  <c r="U69" i="24"/>
  <c r="H152" i="24" s="1"/>
  <c r="T69" i="24"/>
  <c r="G152" i="24" s="1"/>
  <c r="N69" i="24"/>
  <c r="H151" i="24" s="1"/>
  <c r="M69" i="24"/>
  <c r="G151" i="24" s="1"/>
  <c r="G69" i="24"/>
  <c r="H150" i="24" s="1"/>
  <c r="F69" i="24"/>
  <c r="G150" i="24" s="1"/>
  <c r="U68" i="24"/>
  <c r="H139" i="24" s="1"/>
  <c r="T68" i="24"/>
  <c r="G139" i="24" s="1"/>
  <c r="N68" i="24"/>
  <c r="H138" i="24" s="1"/>
  <c r="M68" i="24"/>
  <c r="G138" i="24" s="1"/>
  <c r="G68" i="24"/>
  <c r="H137" i="24" s="1"/>
  <c r="F68" i="24"/>
  <c r="G137" i="24" s="1"/>
  <c r="P66" i="24"/>
  <c r="I66" i="24"/>
  <c r="U62" i="24"/>
  <c r="Q256" i="24" s="1"/>
  <c r="T62" i="24"/>
  <c r="P256" i="24" s="1"/>
  <c r="N62" i="24"/>
  <c r="Q255" i="24" s="1"/>
  <c r="M62" i="24"/>
  <c r="P255" i="24" s="1"/>
  <c r="G62" i="24"/>
  <c r="Q254" i="24" s="1"/>
  <c r="F62" i="24"/>
  <c r="P254" i="24" s="1"/>
  <c r="U61" i="24"/>
  <c r="Q243" i="24" s="1"/>
  <c r="T61" i="24"/>
  <c r="P243" i="24" s="1"/>
  <c r="N61" i="24"/>
  <c r="Q242" i="24" s="1"/>
  <c r="M61" i="24"/>
  <c r="P242" i="24" s="1"/>
  <c r="G61" i="24"/>
  <c r="Q241" i="24" s="1"/>
  <c r="F61" i="24"/>
  <c r="P241" i="24" s="1"/>
  <c r="U60" i="24"/>
  <c r="Q230" i="24" s="1"/>
  <c r="T60" i="24"/>
  <c r="P230" i="24" s="1"/>
  <c r="N60" i="24"/>
  <c r="Q229" i="24" s="1"/>
  <c r="M60" i="24"/>
  <c r="P229" i="24" s="1"/>
  <c r="G60" i="24"/>
  <c r="Q228" i="24" s="1"/>
  <c r="F60" i="24"/>
  <c r="P228" i="24" s="1"/>
  <c r="U59" i="24"/>
  <c r="Q217" i="24" s="1"/>
  <c r="T59" i="24"/>
  <c r="P217" i="24" s="1"/>
  <c r="N59" i="24"/>
  <c r="Q216" i="24" s="1"/>
  <c r="M59" i="24"/>
  <c r="P216" i="24" s="1"/>
  <c r="G59" i="24"/>
  <c r="Q215" i="24" s="1"/>
  <c r="F59" i="24"/>
  <c r="P215" i="24" s="1"/>
  <c r="S58" i="24"/>
  <c r="R58" i="24"/>
  <c r="Q58" i="24"/>
  <c r="L58" i="24"/>
  <c r="K58" i="24"/>
  <c r="J58" i="24"/>
  <c r="E58" i="24"/>
  <c r="D58" i="24"/>
  <c r="C58" i="24"/>
  <c r="B57" i="24"/>
  <c r="I57" i="24" s="1"/>
  <c r="P57" i="24" s="1"/>
  <c r="U56" i="24"/>
  <c r="H256" i="24" s="1"/>
  <c r="T56" i="24"/>
  <c r="N56" i="24"/>
  <c r="H255" i="24" s="1"/>
  <c r="M56" i="24"/>
  <c r="G255" i="24" s="1"/>
  <c r="G56" i="24"/>
  <c r="H254" i="24" s="1"/>
  <c r="F56" i="24"/>
  <c r="U55" i="24"/>
  <c r="H243" i="24" s="1"/>
  <c r="T55" i="24"/>
  <c r="N55" i="24"/>
  <c r="H242" i="24" s="1"/>
  <c r="M55" i="24"/>
  <c r="G242" i="24" s="1"/>
  <c r="G55" i="24"/>
  <c r="H241" i="24" s="1"/>
  <c r="F55" i="24"/>
  <c r="G241" i="24" s="1"/>
  <c r="U54" i="24"/>
  <c r="H230" i="24" s="1"/>
  <c r="T54" i="24"/>
  <c r="N54" i="24"/>
  <c r="H229" i="24" s="1"/>
  <c r="M54" i="24"/>
  <c r="G229" i="24" s="1"/>
  <c r="G54" i="24"/>
  <c r="H228" i="24" s="1"/>
  <c r="F54" i="24"/>
  <c r="G228" i="24" s="1"/>
  <c r="U53" i="24"/>
  <c r="H217" i="24" s="1"/>
  <c r="T53" i="24"/>
  <c r="N53" i="24"/>
  <c r="H216" i="24" s="1"/>
  <c r="M53" i="24"/>
  <c r="G216" i="24" s="1"/>
  <c r="G53" i="24"/>
  <c r="H215" i="24" s="1"/>
  <c r="F53" i="24"/>
  <c r="S52" i="24"/>
  <c r="R52" i="24"/>
  <c r="Q52" i="24"/>
  <c r="L52" i="24"/>
  <c r="K52" i="24"/>
  <c r="J52" i="24"/>
  <c r="E52" i="24"/>
  <c r="D52" i="24"/>
  <c r="C52" i="24"/>
  <c r="B51" i="24"/>
  <c r="I51" i="24" s="1"/>
  <c r="P51" i="24" s="1"/>
  <c r="T50" i="24"/>
  <c r="P201" i="24" s="1"/>
  <c r="M50" i="24"/>
  <c r="G50" i="24"/>
  <c r="Q199" i="24" s="1"/>
  <c r="F50" i="24"/>
  <c r="P199" i="24" s="1"/>
  <c r="U49" i="24"/>
  <c r="Q188" i="24" s="1"/>
  <c r="T49" i="24"/>
  <c r="P188" i="24" s="1"/>
  <c r="N49" i="24"/>
  <c r="Q187" i="24" s="1"/>
  <c r="M49" i="24"/>
  <c r="G49" i="24"/>
  <c r="Q186" i="24" s="1"/>
  <c r="F49" i="24"/>
  <c r="P186" i="24" s="1"/>
  <c r="U48" i="24"/>
  <c r="Q175" i="24" s="1"/>
  <c r="T48" i="24"/>
  <c r="P175" i="24" s="1"/>
  <c r="N48" i="24"/>
  <c r="Q174" i="24" s="1"/>
  <c r="M48" i="24"/>
  <c r="P174" i="24" s="1"/>
  <c r="G48" i="24"/>
  <c r="Q173" i="24" s="1"/>
  <c r="F48" i="24"/>
  <c r="P173" i="24" s="1"/>
  <c r="U47" i="24"/>
  <c r="Q162" i="24" s="1"/>
  <c r="T47" i="24"/>
  <c r="P162" i="24" s="1"/>
  <c r="N47" i="24"/>
  <c r="Q161" i="24" s="1"/>
  <c r="M47" i="24"/>
  <c r="G47" i="24"/>
  <c r="Q160" i="24" s="1"/>
  <c r="F47" i="24"/>
  <c r="P160" i="24" s="1"/>
  <c r="U46" i="24"/>
  <c r="Q149" i="24" s="1"/>
  <c r="T46" i="24"/>
  <c r="P149" i="24" s="1"/>
  <c r="N46" i="24"/>
  <c r="Q148" i="24" s="1"/>
  <c r="M46" i="24"/>
  <c r="G46" i="24"/>
  <c r="Q147" i="24" s="1"/>
  <c r="F46" i="24"/>
  <c r="P147" i="24" s="1"/>
  <c r="T45" i="24"/>
  <c r="P136" i="24" s="1"/>
  <c r="N45" i="24"/>
  <c r="Q135" i="24" s="1"/>
  <c r="M45" i="24"/>
  <c r="F45" i="24"/>
  <c r="P134" i="24" s="1"/>
  <c r="S44" i="24"/>
  <c r="R44" i="24"/>
  <c r="Q44" i="24"/>
  <c r="L44" i="24"/>
  <c r="K44" i="24"/>
  <c r="J44" i="24"/>
  <c r="E44" i="24"/>
  <c r="D44" i="24"/>
  <c r="C44" i="24"/>
  <c r="B43" i="24"/>
  <c r="I43" i="24" s="1"/>
  <c r="P43" i="24" s="1"/>
  <c r="U42" i="24"/>
  <c r="H201" i="24" s="1"/>
  <c r="T42" i="24"/>
  <c r="G201" i="24" s="1"/>
  <c r="M42" i="24"/>
  <c r="G200" i="24" s="1"/>
  <c r="F42" i="24"/>
  <c r="G199" i="24" s="1"/>
  <c r="U41" i="24"/>
  <c r="H188" i="24" s="1"/>
  <c r="T41" i="24"/>
  <c r="G188" i="24" s="1"/>
  <c r="N41" i="24"/>
  <c r="H187" i="24" s="1"/>
  <c r="M41" i="24"/>
  <c r="G187" i="24" s="1"/>
  <c r="G41" i="24"/>
  <c r="H186" i="24" s="1"/>
  <c r="F41" i="24"/>
  <c r="G186" i="24" s="1"/>
  <c r="U40" i="24"/>
  <c r="H175" i="24" s="1"/>
  <c r="T40" i="24"/>
  <c r="G175" i="24" s="1"/>
  <c r="N40" i="24"/>
  <c r="H174" i="24" s="1"/>
  <c r="M40" i="24"/>
  <c r="G174" i="24" s="1"/>
  <c r="G40" i="24"/>
  <c r="H173" i="24" s="1"/>
  <c r="F40" i="24"/>
  <c r="G173" i="24" s="1"/>
  <c r="U39" i="24"/>
  <c r="H162" i="24" s="1"/>
  <c r="T39" i="24"/>
  <c r="G162" i="24" s="1"/>
  <c r="N39" i="24"/>
  <c r="H161" i="24" s="1"/>
  <c r="M39" i="24"/>
  <c r="G161" i="24" s="1"/>
  <c r="G39" i="24"/>
  <c r="H160" i="24" s="1"/>
  <c r="F39" i="24"/>
  <c r="G160" i="24" s="1"/>
  <c r="U38" i="24"/>
  <c r="H149" i="24" s="1"/>
  <c r="T38" i="24"/>
  <c r="G149" i="24" s="1"/>
  <c r="N38" i="24"/>
  <c r="H148" i="24" s="1"/>
  <c r="M38" i="24"/>
  <c r="G148" i="24" s="1"/>
  <c r="G38" i="24"/>
  <c r="H147" i="24" s="1"/>
  <c r="F38" i="24"/>
  <c r="G147" i="24" s="1"/>
  <c r="U37" i="24"/>
  <c r="H136" i="24" s="1"/>
  <c r="T37" i="24"/>
  <c r="G136" i="24" s="1"/>
  <c r="N37" i="24"/>
  <c r="H135" i="24" s="1"/>
  <c r="M37" i="24"/>
  <c r="G135" i="24" s="1"/>
  <c r="G37" i="24"/>
  <c r="H134" i="24" s="1"/>
  <c r="F37" i="24"/>
  <c r="G134" i="24" s="1"/>
  <c r="I35" i="24"/>
  <c r="P35" i="24" s="1"/>
  <c r="B35" i="24"/>
  <c r="U31" i="24"/>
  <c r="Q253" i="24" s="1"/>
  <c r="T31" i="24"/>
  <c r="P253" i="24" s="1"/>
  <c r="N31" i="24"/>
  <c r="Q252" i="24" s="1"/>
  <c r="M31" i="24"/>
  <c r="P252" i="24" s="1"/>
  <c r="G31" i="24"/>
  <c r="Q251" i="24" s="1"/>
  <c r="F31" i="24"/>
  <c r="P251" i="24" s="1"/>
  <c r="U30" i="24"/>
  <c r="Q240" i="24" s="1"/>
  <c r="T30" i="24"/>
  <c r="P240" i="24" s="1"/>
  <c r="N30" i="24"/>
  <c r="Q239" i="24" s="1"/>
  <c r="M30" i="24"/>
  <c r="P239" i="24" s="1"/>
  <c r="G30" i="24"/>
  <c r="Q238" i="24" s="1"/>
  <c r="F30" i="24"/>
  <c r="P238" i="24" s="1"/>
  <c r="U29" i="24"/>
  <c r="Q227" i="24" s="1"/>
  <c r="T29" i="24"/>
  <c r="P227" i="24" s="1"/>
  <c r="N29" i="24"/>
  <c r="Q226" i="24" s="1"/>
  <c r="M29" i="24"/>
  <c r="P226" i="24" s="1"/>
  <c r="G29" i="24"/>
  <c r="Q225" i="24" s="1"/>
  <c r="F29" i="24"/>
  <c r="P225" i="24" s="1"/>
  <c r="U28" i="24"/>
  <c r="Q214" i="24" s="1"/>
  <c r="T28" i="24"/>
  <c r="P214" i="24" s="1"/>
  <c r="N28" i="24"/>
  <c r="Q213" i="24" s="1"/>
  <c r="M28" i="24"/>
  <c r="P213" i="24" s="1"/>
  <c r="G28" i="24"/>
  <c r="Q212" i="24" s="1"/>
  <c r="F28" i="24"/>
  <c r="P212" i="24" s="1"/>
  <c r="S27" i="24"/>
  <c r="R27" i="24"/>
  <c r="Q27" i="24"/>
  <c r="L27" i="24"/>
  <c r="K27" i="24"/>
  <c r="J27" i="24"/>
  <c r="E27" i="24"/>
  <c r="D27" i="24"/>
  <c r="C27" i="24"/>
  <c r="P26" i="24"/>
  <c r="I26" i="24"/>
  <c r="U25" i="24"/>
  <c r="H253" i="24" s="1"/>
  <c r="T25" i="24"/>
  <c r="G253" i="24" s="1"/>
  <c r="N25" i="24"/>
  <c r="H252" i="24" s="1"/>
  <c r="M25" i="24"/>
  <c r="F25" i="24"/>
  <c r="G251" i="24" s="1"/>
  <c r="U24" i="24"/>
  <c r="H240" i="24" s="1"/>
  <c r="T24" i="24"/>
  <c r="G240" i="24" s="1"/>
  <c r="N24" i="24"/>
  <c r="H239" i="24" s="1"/>
  <c r="M24" i="24"/>
  <c r="F24" i="24"/>
  <c r="G238" i="24" s="1"/>
  <c r="U23" i="24"/>
  <c r="H227" i="24" s="1"/>
  <c r="T23" i="24"/>
  <c r="G227" i="24" s="1"/>
  <c r="N23" i="24"/>
  <c r="H226" i="24" s="1"/>
  <c r="M23" i="24"/>
  <c r="F23" i="24"/>
  <c r="G225" i="24" s="1"/>
  <c r="U22" i="24"/>
  <c r="H214" i="24" s="1"/>
  <c r="T22" i="24"/>
  <c r="G214" i="24" s="1"/>
  <c r="N22" i="24"/>
  <c r="H213" i="24" s="1"/>
  <c r="M22" i="24"/>
  <c r="F22" i="24"/>
  <c r="G212" i="24" s="1"/>
  <c r="S21" i="24"/>
  <c r="R21" i="24"/>
  <c r="Q21" i="24"/>
  <c r="L21" i="24"/>
  <c r="K21" i="24"/>
  <c r="J21" i="24"/>
  <c r="E21" i="24"/>
  <c r="D21" i="24"/>
  <c r="C21" i="24"/>
  <c r="P20" i="24"/>
  <c r="I20" i="24"/>
  <c r="U19" i="24"/>
  <c r="Q198" i="24" s="1"/>
  <c r="T19" i="24"/>
  <c r="M19" i="24"/>
  <c r="P197" i="24" s="1"/>
  <c r="F19" i="24"/>
  <c r="U18" i="24"/>
  <c r="Q185" i="24" s="1"/>
  <c r="T18" i="24"/>
  <c r="N18" i="24"/>
  <c r="Q184" i="24" s="1"/>
  <c r="M18" i="24"/>
  <c r="P184" i="24" s="1"/>
  <c r="G18" i="24"/>
  <c r="Q183" i="24" s="1"/>
  <c r="F18" i="24"/>
  <c r="U17" i="24"/>
  <c r="Q172" i="24" s="1"/>
  <c r="T17" i="24"/>
  <c r="N17" i="24"/>
  <c r="Q171" i="24" s="1"/>
  <c r="M17" i="24"/>
  <c r="P171" i="24" s="1"/>
  <c r="G17" i="24"/>
  <c r="Q170" i="24" s="1"/>
  <c r="F17" i="24"/>
  <c r="U16" i="24"/>
  <c r="Q159" i="24" s="1"/>
  <c r="T16" i="24"/>
  <c r="N16" i="24"/>
  <c r="Q158" i="24" s="1"/>
  <c r="M16" i="24"/>
  <c r="P158" i="24" s="1"/>
  <c r="G16" i="24"/>
  <c r="Q157" i="24" s="1"/>
  <c r="F16" i="24"/>
  <c r="U15" i="24"/>
  <c r="Q146" i="24" s="1"/>
  <c r="T15" i="24"/>
  <c r="N15" i="24"/>
  <c r="Q145" i="24" s="1"/>
  <c r="M15" i="24"/>
  <c r="P145" i="24" s="1"/>
  <c r="G15" i="24"/>
  <c r="Q144" i="24" s="1"/>
  <c r="F15" i="24"/>
  <c r="U14" i="24"/>
  <c r="Q133" i="24" s="1"/>
  <c r="T14" i="24"/>
  <c r="M14" i="24"/>
  <c r="P132" i="24" s="1"/>
  <c r="F14" i="24"/>
  <c r="S13" i="24"/>
  <c r="R13" i="24"/>
  <c r="Q13" i="24"/>
  <c r="L13" i="24"/>
  <c r="K13" i="24"/>
  <c r="J13" i="24"/>
  <c r="E13" i="24"/>
  <c r="D13" i="24"/>
  <c r="C13" i="24"/>
  <c r="P12" i="24"/>
  <c r="I12" i="24"/>
  <c r="U11" i="24"/>
  <c r="H198" i="24" s="1"/>
  <c r="T11" i="24"/>
  <c r="G198" i="24" s="1"/>
  <c r="M11" i="24"/>
  <c r="G197" i="24" s="1"/>
  <c r="G11" i="24"/>
  <c r="H196" i="24" s="1"/>
  <c r="F11" i="24"/>
  <c r="G196" i="24" s="1"/>
  <c r="U10" i="24"/>
  <c r="H185" i="24" s="1"/>
  <c r="T10" i="24"/>
  <c r="G185" i="24" s="1"/>
  <c r="N10" i="24"/>
  <c r="H184" i="24" s="1"/>
  <c r="M10" i="24"/>
  <c r="G184" i="24" s="1"/>
  <c r="G10" i="24"/>
  <c r="H183" i="24" s="1"/>
  <c r="F10" i="24"/>
  <c r="G183" i="24" s="1"/>
  <c r="U9" i="24"/>
  <c r="H172" i="24" s="1"/>
  <c r="T9" i="24"/>
  <c r="G172" i="24" s="1"/>
  <c r="N9" i="24"/>
  <c r="H171" i="24" s="1"/>
  <c r="M9" i="24"/>
  <c r="G171" i="24" s="1"/>
  <c r="G9" i="24"/>
  <c r="H170" i="24" s="1"/>
  <c r="F9" i="24"/>
  <c r="G170" i="24" s="1"/>
  <c r="U8" i="24"/>
  <c r="H159" i="24" s="1"/>
  <c r="T8" i="24"/>
  <c r="G159" i="24" s="1"/>
  <c r="N8" i="24"/>
  <c r="H158" i="24" s="1"/>
  <c r="M8" i="24"/>
  <c r="G158" i="24" s="1"/>
  <c r="G8" i="24"/>
  <c r="H157" i="24" s="1"/>
  <c r="F8" i="24"/>
  <c r="G157" i="24" s="1"/>
  <c r="U7" i="24"/>
  <c r="H146" i="24" s="1"/>
  <c r="T7" i="24"/>
  <c r="G146" i="24" s="1"/>
  <c r="N7" i="24"/>
  <c r="H145" i="24" s="1"/>
  <c r="M7" i="24"/>
  <c r="G145" i="24" s="1"/>
  <c r="G7" i="24"/>
  <c r="H144" i="24" s="1"/>
  <c r="F7" i="24"/>
  <c r="G144" i="24" s="1"/>
  <c r="U6" i="24"/>
  <c r="H133" i="24" s="1"/>
  <c r="T6" i="24"/>
  <c r="G133" i="24" s="1"/>
  <c r="N6" i="24"/>
  <c r="H132" i="24" s="1"/>
  <c r="M6" i="24"/>
  <c r="G132" i="24" s="1"/>
  <c r="G6" i="24"/>
  <c r="H131" i="24" s="1"/>
  <c r="F6" i="24"/>
  <c r="G131" i="24" s="1"/>
  <c r="P4" i="24"/>
  <c r="I4" i="24"/>
  <c r="H277" i="24" l="1"/>
  <c r="A265" i="24"/>
  <c r="B265" i="24"/>
  <c r="H285" i="24"/>
  <c r="H281" i="24"/>
  <c r="E13" i="1"/>
  <c r="E12" i="1"/>
  <c r="E7" i="1"/>
  <c r="E6" i="1"/>
  <c r="E5" i="1"/>
  <c r="D268" i="24" l="1"/>
  <c r="D276" i="24" s="1"/>
  <c r="D284" i="24" s="1"/>
  <c r="D290" i="24" s="1"/>
  <c r="C268" i="24"/>
  <c r="C276" i="24" s="1"/>
  <c r="C284" i="24" s="1"/>
  <c r="C290" i="24" s="1"/>
  <c r="B268" i="24"/>
  <c r="B276" i="24" s="1"/>
  <c r="B284" i="24" s="1"/>
  <c r="B290" i="24" s="1"/>
  <c r="F291" i="24"/>
  <c r="F288" i="24"/>
  <c r="D287" i="24"/>
  <c r="D286" i="24"/>
  <c r="D285" i="24"/>
  <c r="B282" i="24"/>
  <c r="B281" i="24"/>
  <c r="B280" i="24"/>
  <c r="F274" i="24"/>
  <c r="F273" i="24"/>
  <c r="A272" i="24"/>
  <c r="B271" i="24"/>
  <c r="C270" i="24"/>
  <c r="D269" i="24"/>
  <c r="E291" i="24"/>
  <c r="E288" i="24"/>
  <c r="C287" i="24"/>
  <c r="C286" i="24"/>
  <c r="C285" i="24"/>
  <c r="A282" i="24"/>
  <c r="A281" i="24"/>
  <c r="A280" i="24"/>
  <c r="E274" i="24"/>
  <c r="E273" i="24"/>
  <c r="A271" i="24"/>
  <c r="B270" i="24"/>
  <c r="C269" i="24"/>
  <c r="F294" i="24"/>
  <c r="F293" i="24"/>
  <c r="F292" i="24"/>
  <c r="D291" i="24"/>
  <c r="D288" i="24"/>
  <c r="B287" i="24"/>
  <c r="B286" i="24"/>
  <c r="B285" i="24"/>
  <c r="F279" i="24"/>
  <c r="F278" i="24"/>
  <c r="F277" i="24"/>
  <c r="D274" i="24"/>
  <c r="D273" i="24"/>
  <c r="A270" i="24"/>
  <c r="B269" i="24"/>
  <c r="E294" i="24"/>
  <c r="E293" i="24"/>
  <c r="E292" i="24"/>
  <c r="C291" i="24"/>
  <c r="C288" i="24"/>
  <c r="A287" i="24"/>
  <c r="A286" i="24"/>
  <c r="A285" i="24"/>
  <c r="E279" i="24"/>
  <c r="E278" i="24"/>
  <c r="E277" i="24"/>
  <c r="C274" i="24"/>
  <c r="C273" i="24"/>
  <c r="F272" i="24"/>
  <c r="A269" i="24"/>
  <c r="A279" i="24"/>
  <c r="D294" i="24"/>
  <c r="D293" i="24"/>
  <c r="D292" i="24"/>
  <c r="B291" i="24"/>
  <c r="B288" i="24"/>
  <c r="F282" i="24"/>
  <c r="F281" i="24"/>
  <c r="F280" i="24"/>
  <c r="D279" i="24"/>
  <c r="D278" i="24"/>
  <c r="D277" i="24"/>
  <c r="B274" i="24"/>
  <c r="B273" i="24"/>
  <c r="E272" i="24"/>
  <c r="F271" i="24"/>
  <c r="E285" i="24"/>
  <c r="C282" i="24"/>
  <c r="A278" i="24"/>
  <c r="K284" i="24" s="1"/>
  <c r="C294" i="24"/>
  <c r="C293" i="24"/>
  <c r="C292" i="24"/>
  <c r="A291" i="24"/>
  <c r="K282" i="24" s="1"/>
  <c r="A288" i="24"/>
  <c r="E282" i="24"/>
  <c r="E281" i="24"/>
  <c r="E280" i="24"/>
  <c r="C279" i="24"/>
  <c r="C278" i="24"/>
  <c r="C277" i="24"/>
  <c r="A274" i="24"/>
  <c r="A273" i="24"/>
  <c r="D272" i="24"/>
  <c r="E271" i="24"/>
  <c r="F270" i="24"/>
  <c r="E287" i="24"/>
  <c r="C281" i="24"/>
  <c r="B294" i="24"/>
  <c r="B293" i="24"/>
  <c r="B292" i="24"/>
  <c r="F287" i="24"/>
  <c r="F286" i="24"/>
  <c r="F285" i="24"/>
  <c r="D282" i="24"/>
  <c r="D281" i="24"/>
  <c r="D280" i="24"/>
  <c r="B279" i="24"/>
  <c r="B278" i="24"/>
  <c r="B277" i="24"/>
  <c r="C272" i="24"/>
  <c r="D271" i="24"/>
  <c r="E270" i="24"/>
  <c r="F269" i="24"/>
  <c r="A294" i="24"/>
  <c r="A293" i="24"/>
  <c r="A292" i="24"/>
  <c r="E286" i="24"/>
  <c r="C280" i="24"/>
  <c r="A277" i="24"/>
  <c r="E269" i="24"/>
  <c r="B272" i="24"/>
  <c r="D270" i="24"/>
  <c r="C271" i="24"/>
  <c r="I549" i="10"/>
  <c r="H548" i="10"/>
  <c r="E7" i="4"/>
  <c r="I284" i="24" l="1"/>
  <c r="K278" i="24"/>
  <c r="K276" i="24"/>
  <c r="I278" i="24"/>
  <c r="I276" i="24"/>
  <c r="I282" i="24"/>
  <c r="I280" i="24"/>
  <c r="K274" i="24"/>
  <c r="I294" i="24"/>
  <c r="K292" i="24"/>
  <c r="K272" i="24"/>
  <c r="I274" i="24"/>
  <c r="I292" i="24"/>
  <c r="K294" i="24"/>
  <c r="I272" i="24"/>
  <c r="K280" i="24"/>
  <c r="I286" i="24"/>
  <c r="K288" i="24"/>
  <c r="I290" i="24"/>
  <c r="I288" i="24"/>
  <c r="K290" i="24"/>
  <c r="K286" i="24"/>
  <c r="H554" i="10"/>
  <c r="I552" i="10"/>
  <c r="A423" i="10"/>
  <c r="W27" i="10"/>
  <c r="J285" i="24" l="1"/>
  <c r="N271" i="24" s="1"/>
  <c r="O271" i="24" s="1"/>
  <c r="J277" i="24"/>
  <c r="N269" i="24" s="1"/>
  <c r="O269" i="24" s="1"/>
  <c r="J281" i="24"/>
  <c r="N270" i="24" s="1"/>
  <c r="O270" i="24" s="1"/>
  <c r="J273" i="24"/>
  <c r="N268" i="24" s="1"/>
  <c r="J289" i="24"/>
  <c r="N272" i="24" s="1"/>
  <c r="O272" i="24" s="1"/>
  <c r="T25" i="4" s="1"/>
  <c r="G39" i="4"/>
  <c r="K29" i="1"/>
  <c r="K28" i="1"/>
  <c r="L26" i="4"/>
  <c r="J27" i="1" s="1"/>
  <c r="M26" i="4"/>
  <c r="K27" i="1" s="1"/>
  <c r="B420" i="10"/>
  <c r="D420" i="10"/>
  <c r="H33" i="4"/>
  <c r="J293" i="24" l="1"/>
  <c r="I266" i="24" s="1"/>
  <c r="O268" i="24"/>
  <c r="H266" i="24" s="1"/>
  <c r="M213" i="16"/>
  <c r="T213" i="16" s="1"/>
  <c r="M202" i="16"/>
  <c r="T202" i="16" s="1"/>
  <c r="M191" i="16"/>
  <c r="T191" i="16" s="1"/>
  <c r="M180" i="16"/>
  <c r="T180" i="16" s="1"/>
  <c r="M169" i="16"/>
  <c r="T169" i="16" s="1"/>
  <c r="M158" i="16"/>
  <c r="T158" i="16" s="1"/>
  <c r="M147" i="16"/>
  <c r="T147" i="16" s="1"/>
  <c r="M136" i="16"/>
  <c r="T136" i="16" s="1"/>
  <c r="M125" i="16"/>
  <c r="T125" i="16" s="1"/>
  <c r="M114" i="16"/>
  <c r="T114" i="16" s="1"/>
  <c r="M103" i="16"/>
  <c r="T103" i="16" s="1"/>
  <c r="M92" i="16"/>
  <c r="T92" i="16" s="1"/>
  <c r="M81" i="16"/>
  <c r="T81" i="16" s="1"/>
  <c r="M70" i="16"/>
  <c r="T70" i="16" s="1"/>
  <c r="M59" i="16"/>
  <c r="T59" i="16" s="1"/>
  <c r="M48" i="16"/>
  <c r="T48" i="16" s="1"/>
  <c r="L48" i="16"/>
  <c r="M37" i="16"/>
  <c r="T37" i="16" s="1"/>
  <c r="M26" i="16"/>
  <c r="T26" i="16" s="1"/>
  <c r="M15" i="16"/>
  <c r="T15" i="16" s="1"/>
  <c r="M4" i="16"/>
  <c r="T4" i="16" s="1"/>
  <c r="B64" i="4"/>
  <c r="H268" i="24" l="1"/>
  <c r="A3" i="23"/>
  <c r="F6" i="23" s="1"/>
  <c r="B45" i="23"/>
  <c r="B46" i="23" s="1"/>
  <c r="B43" i="23"/>
  <c r="E26" i="23"/>
  <c r="A2" i="23" l="1"/>
  <c r="B50" i="23" s="1"/>
  <c r="A17" i="23" l="1"/>
  <c r="A21" i="23"/>
  <c r="A19" i="23"/>
  <c r="A22" i="23"/>
  <c r="A20" i="23"/>
  <c r="B43" i="5" l="1"/>
  <c r="B31" i="5"/>
  <c r="AR29" i="10" l="1"/>
  <c r="AR28" i="10"/>
  <c r="AR27" i="10"/>
  <c r="AR26" i="10"/>
  <c r="AR25" i="10"/>
  <c r="AR24" i="10"/>
  <c r="AR23" i="10"/>
  <c r="AR22" i="10"/>
  <c r="AR21" i="10"/>
  <c r="AR15" i="10"/>
  <c r="AR14" i="10"/>
  <c r="AR13" i="10"/>
  <c r="AR12" i="10"/>
  <c r="AR11" i="10"/>
  <c r="AR10" i="10"/>
  <c r="AR9" i="10"/>
  <c r="AR8" i="10"/>
  <c r="AR7" i="10"/>
  <c r="AK29" i="10"/>
  <c r="AK28" i="10"/>
  <c r="AK27" i="10"/>
  <c r="AK26" i="10"/>
  <c r="AK25" i="10"/>
  <c r="AK24" i="10"/>
  <c r="AK23" i="10"/>
  <c r="AK22" i="10"/>
  <c r="AK21" i="10"/>
  <c r="AK15" i="10"/>
  <c r="AK14" i="10"/>
  <c r="AK13" i="10"/>
  <c r="AK12" i="10"/>
  <c r="AK11" i="10"/>
  <c r="AK10" i="10"/>
  <c r="AK9" i="10"/>
  <c r="AK8" i="10"/>
  <c r="AK7" i="10"/>
  <c r="AD29" i="10"/>
  <c r="AD28" i="10"/>
  <c r="AD27" i="10"/>
  <c r="AD26" i="10"/>
  <c r="AD25" i="10"/>
  <c r="AD24" i="10"/>
  <c r="AD23" i="10"/>
  <c r="AD22" i="10"/>
  <c r="AD21" i="10"/>
  <c r="AD7" i="10"/>
  <c r="AD15" i="10"/>
  <c r="AD14" i="10"/>
  <c r="AD13" i="10"/>
  <c r="AD12" i="10"/>
  <c r="AD11" i="10"/>
  <c r="AD10" i="10"/>
  <c r="AD9" i="10"/>
  <c r="AD8" i="10"/>
  <c r="W29" i="10"/>
  <c r="W28" i="10"/>
  <c r="W26" i="10"/>
  <c r="W25" i="10"/>
  <c r="W24" i="10"/>
  <c r="W23" i="10"/>
  <c r="W22" i="10"/>
  <c r="W21" i="10"/>
  <c r="W14" i="10"/>
  <c r="W13" i="10"/>
  <c r="W12" i="10"/>
  <c r="W11" i="10"/>
  <c r="W10" i="10"/>
  <c r="W9" i="10"/>
  <c r="W8" i="10"/>
  <c r="W7" i="10"/>
  <c r="AR80" i="10" l="1"/>
  <c r="AR79" i="10"/>
  <c r="AR78" i="10"/>
  <c r="AR77" i="10"/>
  <c r="AR76" i="10"/>
  <c r="AR75" i="10"/>
  <c r="AR74" i="10"/>
  <c r="AR73" i="10"/>
  <c r="AR72" i="10"/>
  <c r="AR66" i="10"/>
  <c r="AR65" i="10"/>
  <c r="AR64" i="10"/>
  <c r="AR63" i="10"/>
  <c r="AR62" i="10"/>
  <c r="AR61" i="10"/>
  <c r="AR60" i="10"/>
  <c r="AR59" i="10"/>
  <c r="AR58" i="10"/>
  <c r="AK80" i="10"/>
  <c r="AK79" i="10"/>
  <c r="AK78" i="10"/>
  <c r="AK77" i="10"/>
  <c r="AK76" i="10"/>
  <c r="AK75" i="10"/>
  <c r="AK74" i="10"/>
  <c r="AK73" i="10"/>
  <c r="AK72" i="10"/>
  <c r="AK66" i="10"/>
  <c r="AK65" i="10"/>
  <c r="AK64" i="10"/>
  <c r="AK63" i="10"/>
  <c r="AK62" i="10"/>
  <c r="AK61" i="10"/>
  <c r="AK60" i="10"/>
  <c r="AK59" i="10"/>
  <c r="AK58" i="10"/>
  <c r="AR88" i="10"/>
  <c r="P14" i="10"/>
  <c r="P13" i="10"/>
  <c r="P12" i="10"/>
  <c r="P11" i="10"/>
  <c r="P10" i="10"/>
  <c r="P9" i="10"/>
  <c r="P8" i="10"/>
  <c r="P7" i="10"/>
  <c r="BF29" i="10"/>
  <c r="BF28" i="10"/>
  <c r="BF27" i="10"/>
  <c r="BF26" i="10"/>
  <c r="BF25" i="10"/>
  <c r="BF24" i="10"/>
  <c r="BF23" i="10"/>
  <c r="BF22" i="10"/>
  <c r="BF21" i="10"/>
  <c r="BF10" i="10"/>
  <c r="BF15" i="10"/>
  <c r="BI15" i="10" s="1"/>
  <c r="BF14" i="10"/>
  <c r="BF13" i="10"/>
  <c r="BF12" i="10"/>
  <c r="BF11" i="10"/>
  <c r="BF9" i="10"/>
  <c r="BF8" i="10"/>
  <c r="BF7" i="10"/>
  <c r="AY24" i="10"/>
  <c r="AY26" i="10"/>
  <c r="AY29" i="10"/>
  <c r="AY28" i="10"/>
  <c r="AY27" i="10"/>
  <c r="AY25" i="10"/>
  <c r="AY23" i="10"/>
  <c r="AY22" i="10"/>
  <c r="AY15" i="10"/>
  <c r="AY14" i="10"/>
  <c r="AY13" i="10"/>
  <c r="AY12" i="10"/>
  <c r="AY21" i="10"/>
  <c r="F9" i="1" l="1"/>
  <c r="F8" i="1"/>
  <c r="U28" i="16" l="1"/>
  <c r="U29" i="16"/>
  <c r="U30" i="16"/>
  <c r="U31" i="16"/>
  <c r="U32" i="16"/>
  <c r="U33" i="16"/>
  <c r="U27" i="16"/>
  <c r="U5" i="16"/>
  <c r="U170" i="16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K424" i="10"/>
  <c r="K425" i="10" s="1"/>
  <c r="K426" i="10" s="1"/>
  <c r="K427" i="10" s="1"/>
  <c r="K428" i="10"/>
  <c r="K429" i="10"/>
  <c r="K430" i="10" s="1"/>
  <c r="K431" i="10" s="1"/>
  <c r="K432" i="10" s="1"/>
  <c r="K433" i="10"/>
  <c r="K434" i="10" s="1"/>
  <c r="K435" i="10" s="1"/>
  <c r="K436" i="10" s="1"/>
  <c r="K437" i="10"/>
  <c r="K438" i="10"/>
  <c r="K441" i="10" s="1"/>
  <c r="K442" i="10"/>
  <c r="K446" i="10"/>
  <c r="K450" i="10"/>
  <c r="K454" i="10"/>
  <c r="BI72" i="10"/>
  <c r="BI73" i="10"/>
  <c r="BI74" i="10"/>
  <c r="BI75" i="10"/>
  <c r="BI76" i="10"/>
  <c r="BI77" i="10"/>
  <c r="BI78" i="10"/>
  <c r="BI79" i="10"/>
  <c r="BI80" i="10"/>
  <c r="BI58" i="10"/>
  <c r="BI59" i="10"/>
  <c r="BI60" i="10"/>
  <c r="BI61" i="10"/>
  <c r="BI62" i="10"/>
  <c r="BI63" i="10"/>
  <c r="BI64" i="10"/>
  <c r="BI65" i="10"/>
  <c r="BI66" i="10"/>
  <c r="BB72" i="10"/>
  <c r="BB73" i="10"/>
  <c r="BB74" i="10"/>
  <c r="BB75" i="10"/>
  <c r="BB76" i="10"/>
  <c r="BB77" i="10"/>
  <c r="BB78" i="10"/>
  <c r="BB79" i="10"/>
  <c r="BB80" i="10"/>
  <c r="BB58" i="10"/>
  <c r="BB59" i="10"/>
  <c r="BB60" i="10"/>
  <c r="BB61" i="10"/>
  <c r="BB62" i="10"/>
  <c r="BB63" i="10"/>
  <c r="BB64" i="10"/>
  <c r="BB65" i="10"/>
  <c r="BB66" i="10"/>
  <c r="BH70" i="10"/>
  <c r="K457" i="10" s="1"/>
  <c r="BH56" i="10"/>
  <c r="K456" i="10" s="1"/>
  <c r="BA70" i="10"/>
  <c r="BA86" i="10" s="1"/>
  <c r="BI47" i="10"/>
  <c r="BI48" i="10"/>
  <c r="BI49" i="10"/>
  <c r="BI50" i="10"/>
  <c r="BI51" i="10"/>
  <c r="BI37" i="10"/>
  <c r="BI38" i="10"/>
  <c r="BI39" i="10"/>
  <c r="BI40" i="10"/>
  <c r="BI41" i="10"/>
  <c r="BB47" i="10"/>
  <c r="BB48" i="10"/>
  <c r="BB49" i="10"/>
  <c r="BB50" i="10"/>
  <c r="BB51" i="10"/>
  <c r="BB46" i="10"/>
  <c r="BB37" i="10"/>
  <c r="BB38" i="10"/>
  <c r="BB39" i="10"/>
  <c r="BB40" i="10"/>
  <c r="BB41" i="10"/>
  <c r="BI7" i="10"/>
  <c r="BI8" i="10"/>
  <c r="BI9" i="10"/>
  <c r="BI10" i="10"/>
  <c r="BI11" i="10"/>
  <c r="BI12" i="10"/>
  <c r="BI13" i="10"/>
  <c r="BI14" i="10"/>
  <c r="BI21" i="10"/>
  <c r="BI22" i="10"/>
  <c r="BI23" i="10"/>
  <c r="BI24" i="10"/>
  <c r="BI25" i="10"/>
  <c r="BI26" i="10"/>
  <c r="BI27" i="10"/>
  <c r="BI28" i="10"/>
  <c r="BI29" i="10"/>
  <c r="BB21" i="10"/>
  <c r="BB22" i="10"/>
  <c r="BB23" i="10"/>
  <c r="BB24" i="10"/>
  <c r="BB25" i="10"/>
  <c r="BB26" i="10"/>
  <c r="BB27" i="10"/>
  <c r="BB28" i="10"/>
  <c r="BB29" i="10"/>
  <c r="BB7" i="10"/>
  <c r="BB8" i="10"/>
  <c r="BB9" i="10"/>
  <c r="BB10" i="10"/>
  <c r="BB11" i="10"/>
  <c r="BB12" i="10"/>
  <c r="BB13" i="10"/>
  <c r="BB14" i="10"/>
  <c r="BB15" i="10"/>
  <c r="BH19" i="10"/>
  <c r="K453" i="10" s="1"/>
  <c r="BH5" i="10"/>
  <c r="K444" i="10" s="1"/>
  <c r="BA19" i="10"/>
  <c r="BA35" i="10" s="1"/>
  <c r="AU72" i="10"/>
  <c r="AU73" i="10"/>
  <c r="AU74" i="10"/>
  <c r="AU75" i="10"/>
  <c r="AU76" i="10"/>
  <c r="AU77" i="10"/>
  <c r="AU78" i="10"/>
  <c r="AU79" i="10"/>
  <c r="AU80" i="10"/>
  <c r="AU58" i="10"/>
  <c r="AU59" i="10"/>
  <c r="AU60" i="10"/>
  <c r="AU61" i="10"/>
  <c r="AU62" i="10"/>
  <c r="AU63" i="10"/>
  <c r="AU64" i="10"/>
  <c r="AU65" i="10"/>
  <c r="AU66" i="10"/>
  <c r="AN72" i="10"/>
  <c r="AN73" i="10"/>
  <c r="AN74" i="10"/>
  <c r="AN75" i="10"/>
  <c r="AN76" i="10"/>
  <c r="AN77" i="10"/>
  <c r="AN78" i="10"/>
  <c r="AN79" i="10"/>
  <c r="AN80" i="10"/>
  <c r="AN58" i="10"/>
  <c r="AN59" i="10"/>
  <c r="AN60" i="10"/>
  <c r="AN61" i="10"/>
  <c r="AN62" i="10"/>
  <c r="AN63" i="10"/>
  <c r="AN64" i="10"/>
  <c r="AN65" i="10"/>
  <c r="AN66" i="10"/>
  <c r="AT70" i="10"/>
  <c r="K449" i="10" s="1"/>
  <c r="AT56" i="10"/>
  <c r="K448" i="10" s="1"/>
  <c r="AM70" i="10"/>
  <c r="AM86" i="10" s="1"/>
  <c r="AU47" i="10"/>
  <c r="AU48" i="10"/>
  <c r="AU49" i="10"/>
  <c r="AU50" i="10"/>
  <c r="AU51" i="10"/>
  <c r="AU37" i="10"/>
  <c r="AU38" i="10"/>
  <c r="AU39" i="10"/>
  <c r="AU40" i="10"/>
  <c r="AU41" i="10"/>
  <c r="AN47" i="10"/>
  <c r="AN48" i="10"/>
  <c r="AN49" i="10"/>
  <c r="AN50" i="10"/>
  <c r="AN51" i="10"/>
  <c r="AN37" i="10"/>
  <c r="AN38" i="10"/>
  <c r="AN39" i="10"/>
  <c r="AN40" i="10"/>
  <c r="AN41" i="10"/>
  <c r="AN21" i="10"/>
  <c r="AN22" i="10"/>
  <c r="AN23" i="10"/>
  <c r="AN24" i="10"/>
  <c r="AN25" i="10"/>
  <c r="AN26" i="10"/>
  <c r="AN27" i="10"/>
  <c r="AN28" i="10"/>
  <c r="AN29" i="10"/>
  <c r="AU21" i="10"/>
  <c r="AU22" i="10"/>
  <c r="AU23" i="10"/>
  <c r="AU24" i="10"/>
  <c r="AU25" i="10"/>
  <c r="AU26" i="10"/>
  <c r="AU27" i="10"/>
  <c r="AU28" i="10"/>
  <c r="AU29" i="10"/>
  <c r="AU7" i="10"/>
  <c r="AU8" i="10"/>
  <c r="AU9" i="10"/>
  <c r="AU10" i="10"/>
  <c r="AU11" i="10"/>
  <c r="AU12" i="10"/>
  <c r="AU13" i="10"/>
  <c r="AU14" i="10"/>
  <c r="AU15" i="10"/>
  <c r="AN20" i="10"/>
  <c r="AU20" i="10"/>
  <c r="AU6" i="10"/>
  <c r="AN7" i="10"/>
  <c r="AN8" i="10"/>
  <c r="AN9" i="10"/>
  <c r="AN10" i="10"/>
  <c r="AN11" i="10"/>
  <c r="AN12" i="10"/>
  <c r="AN13" i="10"/>
  <c r="AN14" i="10"/>
  <c r="AN15" i="10"/>
  <c r="AN6" i="10"/>
  <c r="AT19" i="10"/>
  <c r="K445" i="10" s="1"/>
  <c r="AT5" i="10"/>
  <c r="AM19" i="10"/>
  <c r="AM35" i="10" s="1"/>
  <c r="AG98" i="10"/>
  <c r="AG99" i="10"/>
  <c r="AG100" i="10"/>
  <c r="AG101" i="10"/>
  <c r="AG102" i="10"/>
  <c r="AG88" i="10"/>
  <c r="AG89" i="10"/>
  <c r="AG90" i="10"/>
  <c r="AG91" i="10"/>
  <c r="AG92" i="10"/>
  <c r="Z98" i="10"/>
  <c r="Z99" i="10"/>
  <c r="Z100" i="10"/>
  <c r="Z101" i="10"/>
  <c r="Z102" i="10"/>
  <c r="Z88" i="10"/>
  <c r="Z89" i="10"/>
  <c r="Z90" i="10"/>
  <c r="Z91" i="10"/>
  <c r="Z92" i="10"/>
  <c r="Y96" i="10"/>
  <c r="AF96" i="10"/>
  <c r="AF86" i="10"/>
  <c r="Y86" i="10"/>
  <c r="AG72" i="10"/>
  <c r="AG73" i="10"/>
  <c r="AG74" i="10"/>
  <c r="AG75" i="10"/>
  <c r="AG76" i="10"/>
  <c r="AG77" i="10"/>
  <c r="AG78" i="10"/>
  <c r="AG79" i="10"/>
  <c r="AG80" i="10"/>
  <c r="AG58" i="10"/>
  <c r="AG59" i="10"/>
  <c r="AG60" i="10"/>
  <c r="AG61" i="10"/>
  <c r="AG62" i="10"/>
  <c r="AG63" i="10"/>
  <c r="AG64" i="10"/>
  <c r="AG65" i="10"/>
  <c r="AG66" i="10"/>
  <c r="Z72" i="10"/>
  <c r="Z73" i="10"/>
  <c r="Z74" i="10"/>
  <c r="Z75" i="10"/>
  <c r="Z76" i="10"/>
  <c r="Z77" i="10"/>
  <c r="Z78" i="10"/>
  <c r="Z79" i="10"/>
  <c r="Z80" i="10"/>
  <c r="Z58" i="10"/>
  <c r="Z59" i="10"/>
  <c r="Z60" i="10"/>
  <c r="Z61" i="10"/>
  <c r="Z62" i="10"/>
  <c r="Z63" i="10"/>
  <c r="Z64" i="10"/>
  <c r="Z65" i="10"/>
  <c r="Z66" i="10"/>
  <c r="AF70" i="10"/>
  <c r="Y70" i="10"/>
  <c r="AF56" i="10"/>
  <c r="AG47" i="10"/>
  <c r="AG48" i="10"/>
  <c r="AG49" i="10"/>
  <c r="AG50" i="10"/>
  <c r="AG51" i="10"/>
  <c r="AG37" i="10"/>
  <c r="AG38" i="10"/>
  <c r="AG39" i="10"/>
  <c r="AG40" i="10"/>
  <c r="AG41" i="10"/>
  <c r="Z47" i="10"/>
  <c r="Z48" i="10"/>
  <c r="Z49" i="10"/>
  <c r="Z50" i="10"/>
  <c r="Z51" i="10"/>
  <c r="Z37" i="10"/>
  <c r="Z38" i="10"/>
  <c r="Z39" i="10"/>
  <c r="Z40" i="10"/>
  <c r="Z41" i="10"/>
  <c r="AG21" i="10"/>
  <c r="AG22" i="10"/>
  <c r="AG23" i="10"/>
  <c r="AG24" i="10"/>
  <c r="AG25" i="10"/>
  <c r="AG26" i="10"/>
  <c r="AG27" i="10"/>
  <c r="AG28" i="10"/>
  <c r="AG29" i="10"/>
  <c r="AF19" i="10"/>
  <c r="Z21" i="10"/>
  <c r="Z22" i="10"/>
  <c r="Z23" i="10"/>
  <c r="Z24" i="10"/>
  <c r="Z25" i="10"/>
  <c r="Z26" i="10"/>
  <c r="Z27" i="10"/>
  <c r="Z28" i="10"/>
  <c r="Z29" i="10"/>
  <c r="Y19" i="10"/>
  <c r="Y35" i="10" s="1"/>
  <c r="AF45" i="10" s="1"/>
  <c r="AG7" i="10"/>
  <c r="AG8" i="10"/>
  <c r="AG9" i="10"/>
  <c r="AG10" i="10"/>
  <c r="AG11" i="10"/>
  <c r="AG12" i="10"/>
  <c r="AG13" i="10"/>
  <c r="AG14" i="10"/>
  <c r="AG15" i="10"/>
  <c r="AF5" i="10"/>
  <c r="Z7" i="10"/>
  <c r="Z8" i="10"/>
  <c r="Z9" i="10"/>
  <c r="Z10" i="10"/>
  <c r="Z11" i="10"/>
  <c r="Z12" i="10"/>
  <c r="Z13" i="10"/>
  <c r="Z14" i="10"/>
  <c r="Z15" i="10"/>
  <c r="S88" i="10"/>
  <c r="S89" i="10"/>
  <c r="S90" i="10"/>
  <c r="S91" i="10"/>
  <c r="S92" i="10"/>
  <c r="Q86" i="10"/>
  <c r="R86" i="10"/>
  <c r="P86" i="10"/>
  <c r="S58" i="10"/>
  <c r="S59" i="10"/>
  <c r="S60" i="10"/>
  <c r="S61" i="10"/>
  <c r="S62" i="10"/>
  <c r="S63" i="10"/>
  <c r="S64" i="10"/>
  <c r="S65" i="10"/>
  <c r="S66" i="10"/>
  <c r="S37" i="10"/>
  <c r="S38" i="10"/>
  <c r="S39" i="10"/>
  <c r="S40" i="10"/>
  <c r="S41" i="10"/>
  <c r="S36" i="10"/>
  <c r="R35" i="10"/>
  <c r="O33" i="10"/>
  <c r="S7" i="10"/>
  <c r="S8" i="10"/>
  <c r="S9" i="10"/>
  <c r="S10" i="10"/>
  <c r="S11" i="10"/>
  <c r="S12" i="10"/>
  <c r="S13" i="10"/>
  <c r="S14" i="10"/>
  <c r="S15" i="10"/>
  <c r="D35" i="10"/>
  <c r="L98" i="10"/>
  <c r="L99" i="10"/>
  <c r="L100" i="10"/>
  <c r="L101" i="10"/>
  <c r="L102" i="10"/>
  <c r="L88" i="10"/>
  <c r="L89" i="10"/>
  <c r="L90" i="10"/>
  <c r="L91" i="10"/>
  <c r="L92" i="10"/>
  <c r="E98" i="10"/>
  <c r="E99" i="10"/>
  <c r="E100" i="10"/>
  <c r="E101" i="10"/>
  <c r="E102" i="10"/>
  <c r="E88" i="10"/>
  <c r="E89" i="10"/>
  <c r="E90" i="10"/>
  <c r="E91" i="10"/>
  <c r="E92" i="10"/>
  <c r="K96" i="10"/>
  <c r="K86" i="10"/>
  <c r="D96" i="10"/>
  <c r="D86" i="10"/>
  <c r="L72" i="10"/>
  <c r="L73" i="10"/>
  <c r="L74" i="10"/>
  <c r="L75" i="10"/>
  <c r="L76" i="10"/>
  <c r="L77" i="10"/>
  <c r="L78" i="10"/>
  <c r="L79" i="10"/>
  <c r="L80" i="10"/>
  <c r="L58" i="10"/>
  <c r="L59" i="10"/>
  <c r="L60" i="10"/>
  <c r="L61" i="10"/>
  <c r="L62" i="10"/>
  <c r="L63" i="10"/>
  <c r="L64" i="10"/>
  <c r="L65" i="10"/>
  <c r="L66" i="10"/>
  <c r="E72" i="10"/>
  <c r="E73" i="10"/>
  <c r="E74" i="10"/>
  <c r="E75" i="10"/>
  <c r="E76" i="10"/>
  <c r="E77" i="10"/>
  <c r="E78" i="10"/>
  <c r="E79" i="10"/>
  <c r="E80" i="10"/>
  <c r="E58" i="10"/>
  <c r="E59" i="10"/>
  <c r="E60" i="10"/>
  <c r="E61" i="10"/>
  <c r="E62" i="10"/>
  <c r="E63" i="10"/>
  <c r="E64" i="10"/>
  <c r="E65" i="10"/>
  <c r="E66" i="10"/>
  <c r="K70" i="10"/>
  <c r="K56" i="10"/>
  <c r="D70" i="10"/>
  <c r="L47" i="10"/>
  <c r="L48" i="10"/>
  <c r="L49" i="10"/>
  <c r="L50" i="10"/>
  <c r="L51" i="10"/>
  <c r="E47" i="10"/>
  <c r="E48" i="10"/>
  <c r="E49" i="10"/>
  <c r="E50" i="10"/>
  <c r="E51" i="10"/>
  <c r="L46" i="10"/>
  <c r="E46" i="10"/>
  <c r="L37" i="10"/>
  <c r="L38" i="10"/>
  <c r="L39" i="10"/>
  <c r="L40" i="10"/>
  <c r="L41" i="10"/>
  <c r="L36" i="10"/>
  <c r="E37" i="10"/>
  <c r="E38" i="10"/>
  <c r="E39" i="10"/>
  <c r="E40" i="10"/>
  <c r="E41" i="10"/>
  <c r="E36" i="10"/>
  <c r="V352" i="16"/>
  <c r="V353" i="16"/>
  <c r="V354" i="16"/>
  <c r="V355" i="16"/>
  <c r="V356" i="16"/>
  <c r="V357" i="16"/>
  <c r="V358" i="16"/>
  <c r="V359" i="16"/>
  <c r="V360" i="16"/>
  <c r="V361" i="16"/>
  <c r="V362" i="16"/>
  <c r="V363" i="16"/>
  <c r="V364" i="16"/>
  <c r="V365" i="16"/>
  <c r="V366" i="16"/>
  <c r="V367" i="16"/>
  <c r="V368" i="16"/>
  <c r="V369" i="16"/>
  <c r="V370" i="16"/>
  <c r="V371" i="16"/>
  <c r="V331" i="16"/>
  <c r="V332" i="16"/>
  <c r="V333" i="16"/>
  <c r="V334" i="16"/>
  <c r="V335" i="16"/>
  <c r="V336" i="16"/>
  <c r="V337" i="16"/>
  <c r="V338" i="16"/>
  <c r="V339" i="16"/>
  <c r="V340" i="16"/>
  <c r="V341" i="16"/>
  <c r="V342" i="16"/>
  <c r="V343" i="16"/>
  <c r="V344" i="16"/>
  <c r="V345" i="16"/>
  <c r="V346" i="16"/>
  <c r="V347" i="16"/>
  <c r="V348" i="16"/>
  <c r="V349" i="16"/>
  <c r="V350" i="16"/>
  <c r="V310" i="16"/>
  <c r="V311" i="16"/>
  <c r="V312" i="16"/>
  <c r="V313" i="16"/>
  <c r="V314" i="16"/>
  <c r="V315" i="16"/>
  <c r="V316" i="16"/>
  <c r="V317" i="16"/>
  <c r="V318" i="16"/>
  <c r="V319" i="16"/>
  <c r="V320" i="16"/>
  <c r="V321" i="16"/>
  <c r="V322" i="16"/>
  <c r="V323" i="16"/>
  <c r="V324" i="16"/>
  <c r="V325" i="16"/>
  <c r="V326" i="16"/>
  <c r="V327" i="16"/>
  <c r="V328" i="16"/>
  <c r="V329" i="16"/>
  <c r="V289" i="16"/>
  <c r="V290" i="16"/>
  <c r="V291" i="16"/>
  <c r="V292" i="16"/>
  <c r="V293" i="16"/>
  <c r="V294" i="16"/>
  <c r="V295" i="16"/>
  <c r="V296" i="16"/>
  <c r="V297" i="16"/>
  <c r="V298" i="16"/>
  <c r="V299" i="16"/>
  <c r="V300" i="16"/>
  <c r="V301" i="16"/>
  <c r="V302" i="16"/>
  <c r="V303" i="16"/>
  <c r="V304" i="16"/>
  <c r="V305" i="16"/>
  <c r="V306" i="16"/>
  <c r="V307" i="16"/>
  <c r="V308" i="16"/>
  <c r="V268" i="16"/>
  <c r="V269" i="16"/>
  <c r="V270" i="16"/>
  <c r="V271" i="16"/>
  <c r="V272" i="16"/>
  <c r="V273" i="16"/>
  <c r="V274" i="16"/>
  <c r="V275" i="16"/>
  <c r="V276" i="16"/>
  <c r="V277" i="16"/>
  <c r="V278" i="16"/>
  <c r="V279" i="16"/>
  <c r="V280" i="16"/>
  <c r="V281" i="16"/>
  <c r="V282" i="16"/>
  <c r="V283" i="16"/>
  <c r="V284" i="16"/>
  <c r="V285" i="16"/>
  <c r="V286" i="16"/>
  <c r="V287" i="16"/>
  <c r="V247" i="16"/>
  <c r="V248" i="16"/>
  <c r="V249" i="16"/>
  <c r="V250" i="16"/>
  <c r="V251" i="16"/>
  <c r="V252" i="16"/>
  <c r="V253" i="16"/>
  <c r="V254" i="16"/>
  <c r="V255" i="16"/>
  <c r="V256" i="16"/>
  <c r="V257" i="16"/>
  <c r="V258" i="16"/>
  <c r="V259" i="16"/>
  <c r="V260" i="16"/>
  <c r="V261" i="16"/>
  <c r="V262" i="16"/>
  <c r="V263" i="16"/>
  <c r="V264" i="16"/>
  <c r="V265" i="16"/>
  <c r="V266" i="16"/>
  <c r="V226" i="16"/>
  <c r="V227" i="16"/>
  <c r="V228" i="16"/>
  <c r="V229" i="16"/>
  <c r="V230" i="16"/>
  <c r="V231" i="16"/>
  <c r="V232" i="16"/>
  <c r="V233" i="16"/>
  <c r="V234" i="16"/>
  <c r="V235" i="16"/>
  <c r="V236" i="16"/>
  <c r="V237" i="16"/>
  <c r="V238" i="16"/>
  <c r="V239" i="16"/>
  <c r="V240" i="16"/>
  <c r="V241" i="16"/>
  <c r="V242" i="16"/>
  <c r="V243" i="16"/>
  <c r="V244" i="16"/>
  <c r="V245" i="16"/>
  <c r="N352" i="16"/>
  <c r="N353" i="16"/>
  <c r="N354" i="16"/>
  <c r="N355" i="16"/>
  <c r="N356" i="16"/>
  <c r="N357" i="16"/>
  <c r="N358" i="16"/>
  <c r="N359" i="16"/>
  <c r="N360" i="16"/>
  <c r="N361" i="16"/>
  <c r="N362" i="16"/>
  <c r="N363" i="16"/>
  <c r="N364" i="16"/>
  <c r="N365" i="16"/>
  <c r="N366" i="16"/>
  <c r="N367" i="16"/>
  <c r="N368" i="16"/>
  <c r="N369" i="16"/>
  <c r="N370" i="16"/>
  <c r="N371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K391" i="16"/>
  <c r="K392" i="16"/>
  <c r="K393" i="16"/>
  <c r="K394" i="16"/>
  <c r="K395" i="16"/>
  <c r="K396" i="16"/>
  <c r="K397" i="16"/>
  <c r="K398" i="16"/>
  <c r="K399" i="16"/>
  <c r="K400" i="16"/>
  <c r="K401" i="16"/>
  <c r="K402" i="16"/>
  <c r="K403" i="16"/>
  <c r="K404" i="16"/>
  <c r="K405" i="16"/>
  <c r="K406" i="16"/>
  <c r="K407" i="16"/>
  <c r="K408" i="16"/>
  <c r="K409" i="16"/>
  <c r="K390" i="16"/>
  <c r="L21" i="10"/>
  <c r="L22" i="10"/>
  <c r="L23" i="10"/>
  <c r="L24" i="10"/>
  <c r="L25" i="10"/>
  <c r="L26" i="10"/>
  <c r="L27" i="10"/>
  <c r="L28" i="10"/>
  <c r="L29" i="10"/>
  <c r="L7" i="10"/>
  <c r="L8" i="10"/>
  <c r="L9" i="10"/>
  <c r="L10" i="10"/>
  <c r="L11" i="10"/>
  <c r="L12" i="10"/>
  <c r="L13" i="10"/>
  <c r="L14" i="10"/>
  <c r="L15" i="10"/>
  <c r="E21" i="10"/>
  <c r="E22" i="10"/>
  <c r="E23" i="10"/>
  <c r="E24" i="10"/>
  <c r="E25" i="10"/>
  <c r="E26" i="10"/>
  <c r="E27" i="10"/>
  <c r="E28" i="10"/>
  <c r="E29" i="10"/>
  <c r="E7" i="10"/>
  <c r="E8" i="10"/>
  <c r="E9" i="10"/>
  <c r="E10" i="10"/>
  <c r="E11" i="10"/>
  <c r="E12" i="10"/>
  <c r="E13" i="10"/>
  <c r="E14" i="10"/>
  <c r="E15" i="10"/>
  <c r="K19" i="10"/>
  <c r="K5" i="10"/>
  <c r="D19" i="10"/>
  <c r="U215" i="16"/>
  <c r="U216" i="16"/>
  <c r="U217" i="16"/>
  <c r="U218" i="16"/>
  <c r="U219" i="16"/>
  <c r="U220" i="16"/>
  <c r="N215" i="16"/>
  <c r="N216" i="16"/>
  <c r="N217" i="16"/>
  <c r="N218" i="16"/>
  <c r="N219" i="16"/>
  <c r="N220" i="16"/>
  <c r="G215" i="16"/>
  <c r="G216" i="16"/>
  <c r="G217" i="16"/>
  <c r="G218" i="16"/>
  <c r="G219" i="16"/>
  <c r="G220" i="16"/>
  <c r="U214" i="16"/>
  <c r="N214" i="16"/>
  <c r="G214" i="16"/>
  <c r="U204" i="16"/>
  <c r="U205" i="16"/>
  <c r="U206" i="16"/>
  <c r="U207" i="16"/>
  <c r="U208" i="16"/>
  <c r="U209" i="16"/>
  <c r="N204" i="16"/>
  <c r="N205" i="16"/>
  <c r="N206" i="16"/>
  <c r="N207" i="16"/>
  <c r="N208" i="16"/>
  <c r="N209" i="16"/>
  <c r="G204" i="16"/>
  <c r="G205" i="16"/>
  <c r="G206" i="16"/>
  <c r="G207" i="16"/>
  <c r="G208" i="16"/>
  <c r="G209" i="16"/>
  <c r="U203" i="16"/>
  <c r="N203" i="16"/>
  <c r="G203" i="16"/>
  <c r="U193" i="16"/>
  <c r="U194" i="16"/>
  <c r="U195" i="16"/>
  <c r="U196" i="16"/>
  <c r="U197" i="16"/>
  <c r="U198" i="16"/>
  <c r="N193" i="16"/>
  <c r="N194" i="16"/>
  <c r="N195" i="16"/>
  <c r="N196" i="16"/>
  <c r="N197" i="16"/>
  <c r="N198" i="16"/>
  <c r="G193" i="16"/>
  <c r="G194" i="16"/>
  <c r="G195" i="16"/>
  <c r="G196" i="16"/>
  <c r="G197" i="16"/>
  <c r="G198" i="16"/>
  <c r="U192" i="16"/>
  <c r="N192" i="16"/>
  <c r="G192" i="16"/>
  <c r="U182" i="16"/>
  <c r="U183" i="16"/>
  <c r="U184" i="16"/>
  <c r="U185" i="16"/>
  <c r="U186" i="16"/>
  <c r="U187" i="16"/>
  <c r="N182" i="16"/>
  <c r="N183" i="16"/>
  <c r="N184" i="16"/>
  <c r="N185" i="16"/>
  <c r="N186" i="16"/>
  <c r="N187" i="16"/>
  <c r="G182" i="16"/>
  <c r="G183" i="16"/>
  <c r="G184" i="16"/>
  <c r="G185" i="16"/>
  <c r="G186" i="16"/>
  <c r="G187" i="16"/>
  <c r="U181" i="16"/>
  <c r="N181" i="16"/>
  <c r="G181" i="16"/>
  <c r="U171" i="16"/>
  <c r="U172" i="16"/>
  <c r="U173" i="16"/>
  <c r="U174" i="16"/>
  <c r="U175" i="16"/>
  <c r="U176" i="16"/>
  <c r="N171" i="16"/>
  <c r="N172" i="16"/>
  <c r="N173" i="16"/>
  <c r="N174" i="16"/>
  <c r="N175" i="16"/>
  <c r="N176" i="16"/>
  <c r="G171" i="16"/>
  <c r="G172" i="16"/>
  <c r="G173" i="16"/>
  <c r="G174" i="16"/>
  <c r="G175" i="16"/>
  <c r="G176" i="16"/>
  <c r="N170" i="16"/>
  <c r="G170" i="16"/>
  <c r="U160" i="16"/>
  <c r="U161" i="16"/>
  <c r="U162" i="16"/>
  <c r="U163" i="16"/>
  <c r="U164" i="16"/>
  <c r="U165" i="16"/>
  <c r="N160" i="16"/>
  <c r="N161" i="16"/>
  <c r="N162" i="16"/>
  <c r="N163" i="16"/>
  <c r="N164" i="16"/>
  <c r="N165" i="16"/>
  <c r="G160" i="16"/>
  <c r="G161" i="16"/>
  <c r="G162" i="16"/>
  <c r="G163" i="16"/>
  <c r="G164" i="16"/>
  <c r="G165" i="16"/>
  <c r="U159" i="16"/>
  <c r="N159" i="16"/>
  <c r="G159" i="16"/>
  <c r="U149" i="16"/>
  <c r="U150" i="16"/>
  <c r="U151" i="16"/>
  <c r="U152" i="16"/>
  <c r="U153" i="16"/>
  <c r="U154" i="16"/>
  <c r="N149" i="16"/>
  <c r="N150" i="16"/>
  <c r="N151" i="16"/>
  <c r="N152" i="16"/>
  <c r="N153" i="16"/>
  <c r="N154" i="16"/>
  <c r="G149" i="16"/>
  <c r="G150" i="16"/>
  <c r="G151" i="16"/>
  <c r="G152" i="16"/>
  <c r="G153" i="16"/>
  <c r="G154" i="16"/>
  <c r="U148" i="16"/>
  <c r="N148" i="16"/>
  <c r="G148" i="16"/>
  <c r="U138" i="16"/>
  <c r="U139" i="16"/>
  <c r="U140" i="16"/>
  <c r="U141" i="16"/>
  <c r="U142" i="16"/>
  <c r="U143" i="16"/>
  <c r="N138" i="16"/>
  <c r="N139" i="16"/>
  <c r="N140" i="16"/>
  <c r="N141" i="16"/>
  <c r="N142" i="16"/>
  <c r="N143" i="16"/>
  <c r="G138" i="16"/>
  <c r="G139" i="16"/>
  <c r="G140" i="16"/>
  <c r="G141" i="16"/>
  <c r="G142" i="16"/>
  <c r="G143" i="16"/>
  <c r="U137" i="16"/>
  <c r="N137" i="16"/>
  <c r="G137" i="16"/>
  <c r="U127" i="16"/>
  <c r="U128" i="16"/>
  <c r="U129" i="16"/>
  <c r="U130" i="16"/>
  <c r="U131" i="16"/>
  <c r="U132" i="16"/>
  <c r="N127" i="16"/>
  <c r="N128" i="16"/>
  <c r="N129" i="16"/>
  <c r="N130" i="16"/>
  <c r="N131" i="16"/>
  <c r="N132" i="16"/>
  <c r="G127" i="16"/>
  <c r="G128" i="16"/>
  <c r="G129" i="16"/>
  <c r="G130" i="16"/>
  <c r="G131" i="16"/>
  <c r="G132" i="16"/>
  <c r="U126" i="16"/>
  <c r="N126" i="16"/>
  <c r="G126" i="16"/>
  <c r="U116" i="16"/>
  <c r="U117" i="16"/>
  <c r="U118" i="16"/>
  <c r="U119" i="16"/>
  <c r="U120" i="16"/>
  <c r="U121" i="16"/>
  <c r="U115" i="16"/>
  <c r="N116" i="16"/>
  <c r="N117" i="16"/>
  <c r="N118" i="16"/>
  <c r="N119" i="16"/>
  <c r="N120" i="16"/>
  <c r="N121" i="16"/>
  <c r="N115" i="16"/>
  <c r="G116" i="16"/>
  <c r="G117" i="16"/>
  <c r="G118" i="16"/>
  <c r="G119" i="16"/>
  <c r="G120" i="16"/>
  <c r="G121" i="16"/>
  <c r="G115" i="16"/>
  <c r="U105" i="16"/>
  <c r="U106" i="16"/>
  <c r="U107" i="16"/>
  <c r="U108" i="16"/>
  <c r="U109" i="16"/>
  <c r="U110" i="16"/>
  <c r="U104" i="16"/>
  <c r="N105" i="16"/>
  <c r="N106" i="16"/>
  <c r="N107" i="16"/>
  <c r="N108" i="16"/>
  <c r="N109" i="16"/>
  <c r="N110" i="16"/>
  <c r="N104" i="16"/>
  <c r="G105" i="16"/>
  <c r="G106" i="16"/>
  <c r="G107" i="16"/>
  <c r="G108" i="16"/>
  <c r="G109" i="16"/>
  <c r="G110" i="16"/>
  <c r="G104" i="16"/>
  <c r="U94" i="16"/>
  <c r="U95" i="16"/>
  <c r="U96" i="16"/>
  <c r="U97" i="16"/>
  <c r="U98" i="16"/>
  <c r="U99" i="16"/>
  <c r="U93" i="16"/>
  <c r="N94" i="16"/>
  <c r="N95" i="16"/>
  <c r="N96" i="16"/>
  <c r="N97" i="16"/>
  <c r="N98" i="16"/>
  <c r="N99" i="16"/>
  <c r="N93" i="16"/>
  <c r="G94" i="16"/>
  <c r="G95" i="16"/>
  <c r="G96" i="16"/>
  <c r="G97" i="16"/>
  <c r="G98" i="16"/>
  <c r="G99" i="16"/>
  <c r="G93" i="16"/>
  <c r="U83" i="16"/>
  <c r="U84" i="16"/>
  <c r="U85" i="16"/>
  <c r="U86" i="16"/>
  <c r="U87" i="16"/>
  <c r="U88" i="16"/>
  <c r="U82" i="16"/>
  <c r="N83" i="16"/>
  <c r="N84" i="16"/>
  <c r="N85" i="16"/>
  <c r="N86" i="16"/>
  <c r="N87" i="16"/>
  <c r="N88" i="16"/>
  <c r="N82" i="16"/>
  <c r="G83" i="16"/>
  <c r="G84" i="16"/>
  <c r="G85" i="16"/>
  <c r="G86" i="16"/>
  <c r="G87" i="16"/>
  <c r="G88" i="16"/>
  <c r="G82" i="16"/>
  <c r="U72" i="16"/>
  <c r="U73" i="16"/>
  <c r="U74" i="16"/>
  <c r="U75" i="16"/>
  <c r="U76" i="16"/>
  <c r="U77" i="16"/>
  <c r="U71" i="16"/>
  <c r="N72" i="16"/>
  <c r="N73" i="16"/>
  <c r="N74" i="16"/>
  <c r="N75" i="16"/>
  <c r="N76" i="16"/>
  <c r="N77" i="16"/>
  <c r="N71" i="16"/>
  <c r="G72" i="16"/>
  <c r="G73" i="16"/>
  <c r="G74" i="16"/>
  <c r="G75" i="16"/>
  <c r="G76" i="16"/>
  <c r="G77" i="16"/>
  <c r="G71" i="16"/>
  <c r="U61" i="16"/>
  <c r="U62" i="16"/>
  <c r="U63" i="16"/>
  <c r="U64" i="16"/>
  <c r="U65" i="16"/>
  <c r="U66" i="16"/>
  <c r="U60" i="16"/>
  <c r="N61" i="16"/>
  <c r="N62" i="16"/>
  <c r="N63" i="16"/>
  <c r="N64" i="16"/>
  <c r="N65" i="16"/>
  <c r="N66" i="16"/>
  <c r="N60" i="16"/>
  <c r="G61" i="16"/>
  <c r="G62" i="16"/>
  <c r="G63" i="16"/>
  <c r="G64" i="16"/>
  <c r="G65" i="16"/>
  <c r="G66" i="16"/>
  <c r="G60" i="16"/>
  <c r="U50" i="16"/>
  <c r="U51" i="16"/>
  <c r="U52" i="16"/>
  <c r="U53" i="16"/>
  <c r="U54" i="16"/>
  <c r="U55" i="16"/>
  <c r="U49" i="16"/>
  <c r="N50" i="16"/>
  <c r="N51" i="16"/>
  <c r="N52" i="16"/>
  <c r="N53" i="16"/>
  <c r="N54" i="16"/>
  <c r="N55" i="16"/>
  <c r="N49" i="16"/>
  <c r="G50" i="16"/>
  <c r="G51" i="16"/>
  <c r="G52" i="16"/>
  <c r="G53" i="16"/>
  <c r="G54" i="16"/>
  <c r="G55" i="16"/>
  <c r="G49" i="16"/>
  <c r="U39" i="16"/>
  <c r="U40" i="16"/>
  <c r="U41" i="16"/>
  <c r="U42" i="16"/>
  <c r="U43" i="16"/>
  <c r="U44" i="16"/>
  <c r="U38" i="16"/>
  <c r="N38" i="16"/>
  <c r="G39" i="16"/>
  <c r="G40" i="16"/>
  <c r="G41" i="16"/>
  <c r="G42" i="16"/>
  <c r="G43" i="16"/>
  <c r="G44" i="16"/>
  <c r="G38" i="16"/>
  <c r="N28" i="16"/>
  <c r="N29" i="16"/>
  <c r="N30" i="16"/>
  <c r="N31" i="16"/>
  <c r="N32" i="16"/>
  <c r="N33" i="16"/>
  <c r="N27" i="16"/>
  <c r="G28" i="16"/>
  <c r="G29" i="16"/>
  <c r="G30" i="16"/>
  <c r="G31" i="16"/>
  <c r="G32" i="16"/>
  <c r="G33" i="16"/>
  <c r="G27" i="16"/>
  <c r="U17" i="16"/>
  <c r="U18" i="16"/>
  <c r="U19" i="16"/>
  <c r="U20" i="16"/>
  <c r="U21" i="16"/>
  <c r="U22" i="16"/>
  <c r="U16" i="16"/>
  <c r="N17" i="16"/>
  <c r="N18" i="16"/>
  <c r="N19" i="16"/>
  <c r="N20" i="16"/>
  <c r="N21" i="16"/>
  <c r="N22" i="16"/>
  <c r="N16" i="16"/>
  <c r="G17" i="16"/>
  <c r="G18" i="16"/>
  <c r="G19" i="16"/>
  <c r="G20" i="16"/>
  <c r="G21" i="16"/>
  <c r="G22" i="16"/>
  <c r="G16" i="16"/>
  <c r="U6" i="16"/>
  <c r="U7" i="16"/>
  <c r="U8" i="16"/>
  <c r="U9" i="16"/>
  <c r="U10" i="16"/>
  <c r="U11" i="16"/>
  <c r="N6" i="16"/>
  <c r="N7" i="16"/>
  <c r="N8" i="16"/>
  <c r="N9" i="16"/>
  <c r="N10" i="16"/>
  <c r="N11" i="16"/>
  <c r="N5" i="16"/>
  <c r="G6" i="16"/>
  <c r="G7" i="16"/>
  <c r="G8" i="16"/>
  <c r="G9" i="16"/>
  <c r="G10" i="16"/>
  <c r="G11" i="16"/>
  <c r="G5" i="16"/>
  <c r="G555" i="10"/>
  <c r="K558" i="10" s="1"/>
  <c r="G554" i="10"/>
  <c r="J558" i="10" s="1"/>
  <c r="G549" i="10"/>
  <c r="K551" i="10" s="1"/>
  <c r="G548" i="10"/>
  <c r="I550" i="10"/>
  <c r="I551" i="10"/>
  <c r="I548" i="10"/>
  <c r="D8" i="4"/>
  <c r="C8" i="4"/>
  <c r="C9" i="1" s="1"/>
  <c r="C7" i="4"/>
  <c r="S25" i="4"/>
  <c r="Q34" i="4"/>
  <c r="J549" i="10" l="1"/>
  <c r="J547" i="10" s="1"/>
  <c r="J550" i="10"/>
  <c r="D45" i="10"/>
  <c r="K45" i="10"/>
  <c r="K35" i="10"/>
  <c r="K439" i="10"/>
  <c r="K440" i="10" s="1"/>
  <c r="K443" i="10"/>
  <c r="K451" i="10"/>
  <c r="BA45" i="10"/>
  <c r="BH45" i="10"/>
  <c r="BH35" i="10"/>
  <c r="BA96" i="10"/>
  <c r="BH86" i="10"/>
  <c r="BH96" i="10"/>
  <c r="K455" i="10"/>
  <c r="K447" i="10"/>
  <c r="K452" i="10"/>
  <c r="AT35" i="10"/>
  <c r="AM45" i="10"/>
  <c r="AT45" i="10"/>
  <c r="AM96" i="10"/>
  <c r="AT96" i="10"/>
  <c r="AT86" i="10"/>
  <c r="Y45" i="10"/>
  <c r="AF35" i="10"/>
  <c r="J555" i="10"/>
  <c r="J556" i="10"/>
  <c r="J557" i="10"/>
  <c r="K555" i="10"/>
  <c r="K556" i="10"/>
  <c r="K557" i="10"/>
  <c r="K550" i="10"/>
  <c r="K552" i="10"/>
  <c r="K549" i="10"/>
  <c r="J551" i="10"/>
  <c r="J552" i="10"/>
  <c r="E8" i="4"/>
  <c r="E9" i="1" s="1"/>
  <c r="A8" i="17"/>
  <c r="A7" i="17"/>
  <c r="J553" i="10" l="1"/>
  <c r="D35" i="4" s="1"/>
  <c r="K547" i="10"/>
  <c r="D34" i="4" s="1"/>
  <c r="D33" i="4"/>
  <c r="K553" i="10"/>
  <c r="D36" i="4" s="1"/>
  <c r="P417" i="10"/>
  <c r="L418" i="10" s="1"/>
  <c r="D417" i="10" l="1"/>
  <c r="D418" i="10"/>
  <c r="D419" i="10"/>
  <c r="D416" i="10"/>
  <c r="V378" i="16" l="1"/>
  <c r="P416" i="10" l="1"/>
  <c r="L70" i="16"/>
  <c r="N357" i="10"/>
  <c r="O357" i="10"/>
  <c r="R357" i="10"/>
  <c r="N358" i="10"/>
  <c r="O358" i="10"/>
  <c r="R358" i="10"/>
  <c r="N359" i="10"/>
  <c r="O359" i="10"/>
  <c r="R359" i="10"/>
  <c r="N360" i="10"/>
  <c r="O360" i="10"/>
  <c r="R360" i="10"/>
  <c r="N361" i="10"/>
  <c r="O361" i="10"/>
  <c r="R361" i="10"/>
  <c r="N362" i="10"/>
  <c r="O362" i="10"/>
  <c r="R362" i="10"/>
  <c r="N363" i="10"/>
  <c r="O363" i="10"/>
  <c r="R363" i="10"/>
  <c r="N364" i="10"/>
  <c r="O364" i="10"/>
  <c r="R364" i="10"/>
  <c r="N365" i="10"/>
  <c r="O365" i="10"/>
  <c r="R365" i="10"/>
  <c r="N366" i="10"/>
  <c r="O366" i="10"/>
  <c r="R366" i="10"/>
  <c r="N367" i="10"/>
  <c r="O367" i="10"/>
  <c r="R367" i="10"/>
  <c r="N368" i="10"/>
  <c r="O368" i="10"/>
  <c r="R368" i="10"/>
  <c r="N369" i="10"/>
  <c r="O369" i="10"/>
  <c r="R369" i="10"/>
  <c r="N370" i="10"/>
  <c r="O370" i="10"/>
  <c r="R370" i="10"/>
  <c r="N371" i="10"/>
  <c r="O371" i="10"/>
  <c r="R371" i="10"/>
  <c r="N372" i="10"/>
  <c r="O372" i="10"/>
  <c r="R372" i="10"/>
  <c r="N373" i="10"/>
  <c r="O373" i="10"/>
  <c r="R373" i="10"/>
  <c r="N374" i="10"/>
  <c r="O374" i="10"/>
  <c r="R374" i="10"/>
  <c r="N375" i="10"/>
  <c r="O375" i="10"/>
  <c r="R375" i="10"/>
  <c r="N376" i="10"/>
  <c r="O376" i="10"/>
  <c r="R376" i="10"/>
  <c r="N377" i="10"/>
  <c r="O377" i="10"/>
  <c r="R377" i="10"/>
  <c r="N378" i="10"/>
  <c r="O378" i="10"/>
  <c r="R378" i="10"/>
  <c r="N379" i="10"/>
  <c r="O379" i="10"/>
  <c r="R379" i="10"/>
  <c r="N380" i="10"/>
  <c r="O380" i="10"/>
  <c r="R380" i="10"/>
  <c r="N381" i="10"/>
  <c r="O381" i="10"/>
  <c r="R381" i="10"/>
  <c r="N382" i="10"/>
  <c r="O382" i="10"/>
  <c r="R382" i="10"/>
  <c r="N383" i="10"/>
  <c r="O383" i="10"/>
  <c r="R383" i="10"/>
  <c r="N384" i="10"/>
  <c r="O384" i="10"/>
  <c r="R384" i="10"/>
  <c r="N385" i="10"/>
  <c r="O385" i="10"/>
  <c r="R385" i="10"/>
  <c r="N386" i="10"/>
  <c r="O386" i="10"/>
  <c r="R386" i="10"/>
  <c r="N387" i="10"/>
  <c r="O387" i="10"/>
  <c r="R387" i="10"/>
  <c r="N388" i="10"/>
  <c r="O388" i="10"/>
  <c r="R388" i="10"/>
  <c r="N389" i="10"/>
  <c r="O389" i="10"/>
  <c r="R389" i="10"/>
  <c r="N390" i="10"/>
  <c r="O390" i="10"/>
  <c r="R390" i="10"/>
  <c r="M390" i="10"/>
  <c r="M389" i="10"/>
  <c r="M388" i="10"/>
  <c r="M387" i="10"/>
  <c r="M386" i="10"/>
  <c r="M385" i="10"/>
  <c r="M384" i="10"/>
  <c r="M383" i="10"/>
  <c r="M382" i="10"/>
  <c r="M381" i="10"/>
  <c r="M380" i="10"/>
  <c r="M379" i="10"/>
  <c r="M378" i="10"/>
  <c r="M377" i="10"/>
  <c r="M376" i="10"/>
  <c r="M375" i="10"/>
  <c r="M374" i="10"/>
  <c r="M373" i="10"/>
  <c r="M372" i="10"/>
  <c r="M371" i="10"/>
  <c r="M370" i="10"/>
  <c r="M369" i="10"/>
  <c r="M368" i="10"/>
  <c r="M367" i="10"/>
  <c r="M366" i="10"/>
  <c r="M365" i="10"/>
  <c r="M364" i="10"/>
  <c r="M363" i="10"/>
  <c r="M362" i="10"/>
  <c r="M361" i="10"/>
  <c r="M360" i="10"/>
  <c r="M359" i="10"/>
  <c r="M358" i="10"/>
  <c r="M357" i="10"/>
  <c r="N247" i="10"/>
  <c r="O247" i="10"/>
  <c r="R247" i="10"/>
  <c r="N248" i="10"/>
  <c r="O248" i="10"/>
  <c r="R248" i="10"/>
  <c r="N249" i="10"/>
  <c r="O249" i="10"/>
  <c r="R249" i="10"/>
  <c r="N250" i="10"/>
  <c r="O250" i="10"/>
  <c r="R250" i="10"/>
  <c r="N251" i="10"/>
  <c r="O251" i="10"/>
  <c r="R251" i="10"/>
  <c r="N252" i="10"/>
  <c r="O252" i="10"/>
  <c r="R252" i="10"/>
  <c r="N253" i="10"/>
  <c r="O253" i="10"/>
  <c r="R253" i="10"/>
  <c r="N254" i="10"/>
  <c r="O254" i="10"/>
  <c r="R254" i="10"/>
  <c r="N255" i="10"/>
  <c r="O255" i="10"/>
  <c r="R255" i="10"/>
  <c r="N256" i="10"/>
  <c r="O256" i="10"/>
  <c r="R256" i="10"/>
  <c r="N257" i="10"/>
  <c r="O257" i="10"/>
  <c r="R257" i="10"/>
  <c r="N258" i="10"/>
  <c r="O258" i="10"/>
  <c r="R258" i="10"/>
  <c r="N259" i="10"/>
  <c r="O259" i="10"/>
  <c r="R259" i="10"/>
  <c r="N260" i="10"/>
  <c r="O260" i="10"/>
  <c r="R260" i="10"/>
  <c r="N261" i="10"/>
  <c r="O261" i="10"/>
  <c r="R261" i="10"/>
  <c r="N262" i="10"/>
  <c r="O262" i="10"/>
  <c r="R262" i="10"/>
  <c r="N263" i="10"/>
  <c r="O263" i="10"/>
  <c r="R263" i="10"/>
  <c r="N264" i="10"/>
  <c r="O264" i="10"/>
  <c r="R264" i="10"/>
  <c r="N265" i="10"/>
  <c r="O265" i="10"/>
  <c r="R265" i="10"/>
  <c r="N266" i="10"/>
  <c r="O266" i="10"/>
  <c r="R266" i="10"/>
  <c r="N267" i="10"/>
  <c r="O267" i="10"/>
  <c r="R267" i="10"/>
  <c r="N268" i="10"/>
  <c r="O268" i="10"/>
  <c r="R268" i="10"/>
  <c r="N269" i="10"/>
  <c r="O269" i="10"/>
  <c r="R269" i="10"/>
  <c r="N270" i="10"/>
  <c r="O270" i="10"/>
  <c r="R270" i="10"/>
  <c r="N271" i="10"/>
  <c r="O271" i="10"/>
  <c r="R271" i="10"/>
  <c r="N272" i="10"/>
  <c r="O272" i="10"/>
  <c r="R272" i="10"/>
  <c r="N273" i="10"/>
  <c r="O273" i="10"/>
  <c r="R273" i="10"/>
  <c r="N274" i="10"/>
  <c r="O274" i="10"/>
  <c r="R274" i="10"/>
  <c r="N275" i="10"/>
  <c r="O275" i="10"/>
  <c r="Q275" i="10"/>
  <c r="R275" i="10"/>
  <c r="N276" i="10"/>
  <c r="O276" i="10"/>
  <c r="R276" i="10"/>
  <c r="N277" i="10"/>
  <c r="O277" i="10"/>
  <c r="R277" i="10"/>
  <c r="N278" i="10"/>
  <c r="O278" i="10"/>
  <c r="R278" i="10"/>
  <c r="N279" i="10"/>
  <c r="O279" i="10"/>
  <c r="R279" i="10"/>
  <c r="N280" i="10"/>
  <c r="O280" i="10"/>
  <c r="R280" i="10"/>
  <c r="M280" i="10"/>
  <c r="M279" i="10"/>
  <c r="M278" i="10"/>
  <c r="M277" i="10"/>
  <c r="M276" i="10"/>
  <c r="M275" i="10"/>
  <c r="M274" i="10"/>
  <c r="M273" i="10"/>
  <c r="M272" i="10"/>
  <c r="M271" i="10"/>
  <c r="M270" i="10"/>
  <c r="M269" i="10"/>
  <c r="M268" i="10"/>
  <c r="M267" i="10"/>
  <c r="M266" i="10"/>
  <c r="M265" i="10"/>
  <c r="M264" i="10"/>
  <c r="M263" i="10"/>
  <c r="M262" i="10"/>
  <c r="M261" i="10"/>
  <c r="M260" i="10"/>
  <c r="M259" i="10"/>
  <c r="M258" i="10"/>
  <c r="M257" i="10"/>
  <c r="M256" i="10"/>
  <c r="M255" i="10"/>
  <c r="M254" i="10"/>
  <c r="M253" i="10"/>
  <c r="M252" i="10"/>
  <c r="M251" i="10"/>
  <c r="M250" i="10"/>
  <c r="M249" i="10"/>
  <c r="M248" i="10"/>
  <c r="M247" i="10"/>
  <c r="AU102" i="10"/>
  <c r="Q382" i="10" s="1"/>
  <c r="AU92" i="10"/>
  <c r="Q381" i="10" s="1"/>
  <c r="AN102" i="10"/>
  <c r="Q380" i="10" s="1"/>
  <c r="AN92" i="10"/>
  <c r="Q379" i="10" s="1"/>
  <c r="Q272" i="10"/>
  <c r="Q271" i="10"/>
  <c r="Q270" i="10"/>
  <c r="Q269" i="10"/>
  <c r="Q378" i="10"/>
  <c r="Q377" i="10"/>
  <c r="Q376" i="10"/>
  <c r="Q375" i="10"/>
  <c r="Q268" i="10"/>
  <c r="Q266" i="10"/>
  <c r="Q267" i="10"/>
  <c r="L416" i="10" l="1"/>
  <c r="D7" i="9" s="1"/>
  <c r="BB102" i="10"/>
  <c r="Q388" i="10" s="1"/>
  <c r="BI102" i="10"/>
  <c r="Q390" i="10" s="1"/>
  <c r="BI92" i="10"/>
  <c r="Q389" i="10" s="1"/>
  <c r="BB92" i="10"/>
  <c r="Q387" i="10" s="1"/>
  <c r="Q280" i="10"/>
  <c r="Q278" i="10"/>
  <c r="Q279" i="10"/>
  <c r="Q277" i="10"/>
  <c r="Q386" i="10"/>
  <c r="Q385" i="10"/>
  <c r="Q384" i="10"/>
  <c r="Q383" i="10"/>
  <c r="Q276" i="10"/>
  <c r="Q274" i="10"/>
  <c r="Q273" i="10"/>
  <c r="Q265" i="10"/>
  <c r="Q374" i="10"/>
  <c r="Q372" i="10"/>
  <c r="Q373" i="10"/>
  <c r="Q371" i="10"/>
  <c r="Q264" i="10"/>
  <c r="Q262" i="10"/>
  <c r="Q263" i="10"/>
  <c r="Q261" i="10"/>
  <c r="Q365" i="10"/>
  <c r="Q364" i="10"/>
  <c r="Q363" i="10"/>
  <c r="Q362" i="10"/>
  <c r="Q255" i="10"/>
  <c r="Q253" i="10"/>
  <c r="Q254" i="10"/>
  <c r="Q252" i="10"/>
  <c r="Q370" i="10"/>
  <c r="Q260" i="10"/>
  <c r="Q361" i="10"/>
  <c r="Q251" i="10"/>
  <c r="Q369" i="10"/>
  <c r="Q367" i="10"/>
  <c r="Q368" i="10"/>
  <c r="Q366" i="10"/>
  <c r="Q259" i="10"/>
  <c r="Q257" i="10"/>
  <c r="Q258" i="10"/>
  <c r="Q256" i="10"/>
  <c r="Q360" i="10"/>
  <c r="Q359" i="10"/>
  <c r="Q358" i="10"/>
  <c r="Q357" i="10"/>
  <c r="Q250" i="10"/>
  <c r="Q248" i="10"/>
  <c r="Q249" i="10"/>
  <c r="Q247" i="10"/>
  <c r="I65" i="1"/>
  <c r="I64" i="1"/>
  <c r="AE70" i="10"/>
  <c r="AD70" i="10"/>
  <c r="X70" i="10"/>
  <c r="W70" i="10"/>
  <c r="AE56" i="10"/>
  <c r="AD56" i="10"/>
  <c r="AC43" i="10"/>
  <c r="V43" i="10"/>
  <c r="AC33" i="10"/>
  <c r="V33" i="10"/>
  <c r="AE19" i="10"/>
  <c r="AD19" i="10"/>
  <c r="X19" i="10"/>
  <c r="X35" i="10" s="1"/>
  <c r="AE45" i="10" s="1"/>
  <c r="W19" i="10"/>
  <c r="W35" i="10" s="1"/>
  <c r="AD45" i="10" s="1"/>
  <c r="AE5" i="10"/>
  <c r="AD5" i="10"/>
  <c r="H43" i="10"/>
  <c r="A43" i="10"/>
  <c r="C35" i="10"/>
  <c r="J45" i="10" s="1"/>
  <c r="B35" i="10"/>
  <c r="I45" i="10" s="1"/>
  <c r="H33" i="10"/>
  <c r="A33" i="10"/>
  <c r="J19" i="10"/>
  <c r="I19" i="10"/>
  <c r="C19" i="10"/>
  <c r="B19" i="10"/>
  <c r="J5" i="10"/>
  <c r="I5" i="10"/>
  <c r="D20" i="9" l="1"/>
  <c r="D46" i="9"/>
  <c r="D33" i="9"/>
  <c r="I35" i="10"/>
  <c r="X45" i="10"/>
  <c r="W45" i="10"/>
  <c r="AD35" i="10"/>
  <c r="AE35" i="10"/>
  <c r="B45" i="10"/>
  <c r="C45" i="10"/>
  <c r="J35" i="10"/>
  <c r="B417" i="10" l="1"/>
  <c r="B418" i="10"/>
  <c r="B419" i="10"/>
  <c r="B416" i="10"/>
  <c r="A417" i="10"/>
  <c r="A418" i="10"/>
  <c r="A419" i="10"/>
  <c r="A416" i="10"/>
  <c r="J454" i="10"/>
  <c r="I454" i="10"/>
  <c r="J450" i="10"/>
  <c r="I450" i="10"/>
  <c r="J446" i="10"/>
  <c r="I446" i="10"/>
  <c r="J442" i="10"/>
  <c r="I442" i="10"/>
  <c r="J438" i="10"/>
  <c r="J439" i="10" s="1"/>
  <c r="J440" i="10" s="1"/>
  <c r="I438" i="10"/>
  <c r="I439" i="10" s="1"/>
  <c r="I440" i="10" s="1"/>
  <c r="J437" i="10"/>
  <c r="I437" i="10"/>
  <c r="J433" i="10"/>
  <c r="J434" i="10" s="1"/>
  <c r="J435" i="10" s="1"/>
  <c r="J436" i="10" s="1"/>
  <c r="I433" i="10"/>
  <c r="I434" i="10" s="1"/>
  <c r="I435" i="10" s="1"/>
  <c r="I436" i="10" s="1"/>
  <c r="J429" i="10"/>
  <c r="J430" i="10" s="1"/>
  <c r="J431" i="10" s="1"/>
  <c r="J432" i="10" s="1"/>
  <c r="I429" i="10"/>
  <c r="I430" i="10" s="1"/>
  <c r="I431" i="10" s="1"/>
  <c r="I432" i="10" s="1"/>
  <c r="J428" i="10"/>
  <c r="I428" i="10"/>
  <c r="J424" i="10"/>
  <c r="J425" i="10" s="1"/>
  <c r="J426" i="10" s="1"/>
  <c r="J427" i="10" s="1"/>
  <c r="I424" i="10"/>
  <c r="I425" i="10" s="1"/>
  <c r="I426" i="10" s="1"/>
  <c r="I427" i="10" s="1"/>
  <c r="D45" i="9"/>
  <c r="D32" i="9"/>
  <c r="D19" i="9"/>
  <c r="D6" i="9"/>
  <c r="H390" i="10"/>
  <c r="E390" i="10"/>
  <c r="D390" i="10"/>
  <c r="C390" i="10"/>
  <c r="H389" i="10"/>
  <c r="E389" i="10"/>
  <c r="D389" i="10"/>
  <c r="C389" i="10"/>
  <c r="H388" i="10"/>
  <c r="E388" i="10"/>
  <c r="D388" i="10"/>
  <c r="C388" i="10"/>
  <c r="H387" i="10"/>
  <c r="E387" i="10"/>
  <c r="D387" i="10"/>
  <c r="C387" i="10"/>
  <c r="H386" i="10"/>
  <c r="E386" i="10"/>
  <c r="D386" i="10"/>
  <c r="C386" i="10"/>
  <c r="H385" i="10"/>
  <c r="E385" i="10"/>
  <c r="D385" i="10"/>
  <c r="C385" i="10"/>
  <c r="H384" i="10"/>
  <c r="E384" i="10"/>
  <c r="D384" i="10"/>
  <c r="C384" i="10"/>
  <c r="H383" i="10"/>
  <c r="E383" i="10"/>
  <c r="D383" i="10"/>
  <c r="C383" i="10"/>
  <c r="H382" i="10"/>
  <c r="E382" i="10"/>
  <c r="D382" i="10"/>
  <c r="C382" i="10"/>
  <c r="H381" i="10"/>
  <c r="E381" i="10"/>
  <c r="D381" i="10"/>
  <c r="C381" i="10"/>
  <c r="H380" i="10"/>
  <c r="E380" i="10"/>
  <c r="D380" i="10"/>
  <c r="C380" i="10"/>
  <c r="H379" i="10"/>
  <c r="E379" i="10"/>
  <c r="D379" i="10"/>
  <c r="C379" i="10"/>
  <c r="H378" i="10"/>
  <c r="E378" i="10"/>
  <c r="D378" i="10"/>
  <c r="C378" i="10"/>
  <c r="H377" i="10"/>
  <c r="E377" i="10"/>
  <c r="D377" i="10"/>
  <c r="C377" i="10"/>
  <c r="H376" i="10"/>
  <c r="E376" i="10"/>
  <c r="D376" i="10"/>
  <c r="C376" i="10"/>
  <c r="H375" i="10"/>
  <c r="E375" i="10"/>
  <c r="D375" i="10"/>
  <c r="C375" i="10"/>
  <c r="H374" i="10"/>
  <c r="E374" i="10"/>
  <c r="D374" i="10"/>
  <c r="C374" i="10"/>
  <c r="H373" i="10"/>
  <c r="E373" i="10"/>
  <c r="D373" i="10"/>
  <c r="C373" i="10"/>
  <c r="H372" i="10"/>
  <c r="E372" i="10"/>
  <c r="D372" i="10"/>
  <c r="C372" i="10"/>
  <c r="H371" i="10"/>
  <c r="E371" i="10"/>
  <c r="D371" i="10"/>
  <c r="C371" i="10"/>
  <c r="H370" i="10"/>
  <c r="E370" i="10"/>
  <c r="D370" i="10"/>
  <c r="C370" i="10"/>
  <c r="H369" i="10"/>
  <c r="E369" i="10"/>
  <c r="D369" i="10"/>
  <c r="C369" i="10"/>
  <c r="H368" i="10"/>
  <c r="E368" i="10"/>
  <c r="D368" i="10"/>
  <c r="C368" i="10"/>
  <c r="H367" i="10"/>
  <c r="E367" i="10"/>
  <c r="D367" i="10"/>
  <c r="C367" i="10"/>
  <c r="H366" i="10"/>
  <c r="E366" i="10"/>
  <c r="D366" i="10"/>
  <c r="C366" i="10"/>
  <c r="H365" i="10"/>
  <c r="E365" i="10"/>
  <c r="D365" i="10"/>
  <c r="C365" i="10"/>
  <c r="H364" i="10"/>
  <c r="E364" i="10"/>
  <c r="D364" i="10"/>
  <c r="C364" i="10"/>
  <c r="H363" i="10"/>
  <c r="E363" i="10"/>
  <c r="D363" i="10"/>
  <c r="C363" i="10"/>
  <c r="H362" i="10"/>
  <c r="E362" i="10"/>
  <c r="D362" i="10"/>
  <c r="C362" i="10"/>
  <c r="H361" i="10"/>
  <c r="E361" i="10"/>
  <c r="D361" i="10"/>
  <c r="C361" i="10"/>
  <c r="H360" i="10"/>
  <c r="E360" i="10"/>
  <c r="D360" i="10"/>
  <c r="C360" i="10"/>
  <c r="H359" i="10"/>
  <c r="E359" i="10"/>
  <c r="D359" i="10"/>
  <c r="C359" i="10"/>
  <c r="H358" i="10"/>
  <c r="E358" i="10"/>
  <c r="D358" i="10"/>
  <c r="C358" i="10"/>
  <c r="H357" i="10"/>
  <c r="E357" i="10"/>
  <c r="D357" i="10"/>
  <c r="C357" i="10"/>
  <c r="R355" i="10"/>
  <c r="O355" i="10"/>
  <c r="N355" i="10"/>
  <c r="M355" i="10"/>
  <c r="H355" i="10"/>
  <c r="E355" i="10"/>
  <c r="D355" i="10"/>
  <c r="C355" i="10"/>
  <c r="R354" i="10"/>
  <c r="O354" i="10"/>
  <c r="N354" i="10"/>
  <c r="M354" i="10"/>
  <c r="H354" i="10"/>
  <c r="E354" i="10"/>
  <c r="D354" i="10"/>
  <c r="C354" i="10"/>
  <c r="R353" i="10"/>
  <c r="O353" i="10"/>
  <c r="N353" i="10"/>
  <c r="M353" i="10"/>
  <c r="H353" i="10"/>
  <c r="E353" i="10"/>
  <c r="D353" i="10"/>
  <c r="C353" i="10"/>
  <c r="R352" i="10"/>
  <c r="O352" i="10"/>
  <c r="N352" i="10"/>
  <c r="M352" i="10"/>
  <c r="H352" i="10"/>
  <c r="E352" i="10"/>
  <c r="D352" i="10"/>
  <c r="C352" i="10"/>
  <c r="R351" i="10"/>
  <c r="O351" i="10"/>
  <c r="N351" i="10"/>
  <c r="M351" i="10"/>
  <c r="H351" i="10"/>
  <c r="E351" i="10"/>
  <c r="D351" i="10"/>
  <c r="C351" i="10"/>
  <c r="R350" i="10"/>
  <c r="O350" i="10"/>
  <c r="N350" i="10"/>
  <c r="M350" i="10"/>
  <c r="H350" i="10"/>
  <c r="E350" i="10"/>
  <c r="D350" i="10"/>
  <c r="C350" i="10"/>
  <c r="R349" i="10"/>
  <c r="O349" i="10"/>
  <c r="N349" i="10"/>
  <c r="M349" i="10"/>
  <c r="H349" i="10"/>
  <c r="E349" i="10"/>
  <c r="D349" i="10"/>
  <c r="C349" i="10"/>
  <c r="R348" i="10"/>
  <c r="O348" i="10"/>
  <c r="N348" i="10"/>
  <c r="M348" i="10"/>
  <c r="H348" i="10"/>
  <c r="E348" i="10"/>
  <c r="D348" i="10"/>
  <c r="C348" i="10"/>
  <c r="R347" i="10"/>
  <c r="O347" i="10"/>
  <c r="N347" i="10"/>
  <c r="M347" i="10"/>
  <c r="H347" i="10"/>
  <c r="E347" i="10"/>
  <c r="D347" i="10"/>
  <c r="C347" i="10"/>
  <c r="R346" i="10"/>
  <c r="O346" i="10"/>
  <c r="N346" i="10"/>
  <c r="M346" i="10"/>
  <c r="H346" i="10"/>
  <c r="E346" i="10"/>
  <c r="D346" i="10"/>
  <c r="C346" i="10"/>
  <c r="R345" i="10"/>
  <c r="O345" i="10"/>
  <c r="N345" i="10"/>
  <c r="M345" i="10"/>
  <c r="H345" i="10"/>
  <c r="E345" i="10"/>
  <c r="D345" i="10"/>
  <c r="C345" i="10"/>
  <c r="R344" i="10"/>
  <c r="O344" i="10"/>
  <c r="N344" i="10"/>
  <c r="M344" i="10"/>
  <c r="H344" i="10"/>
  <c r="E344" i="10"/>
  <c r="D344" i="10"/>
  <c r="C344" i="10"/>
  <c r="R343" i="10"/>
  <c r="O343" i="10"/>
  <c r="N343" i="10"/>
  <c r="M343" i="10"/>
  <c r="H343" i="10"/>
  <c r="E343" i="10"/>
  <c r="D343" i="10"/>
  <c r="C343" i="10"/>
  <c r="R342" i="10"/>
  <c r="O342" i="10"/>
  <c r="N342" i="10"/>
  <c r="M342" i="10"/>
  <c r="H342" i="10"/>
  <c r="E342" i="10"/>
  <c r="D342" i="10"/>
  <c r="C342" i="10"/>
  <c r="R341" i="10"/>
  <c r="O341" i="10"/>
  <c r="N341" i="10"/>
  <c r="M341" i="10"/>
  <c r="H341" i="10"/>
  <c r="E341" i="10"/>
  <c r="D341" i="10"/>
  <c r="C341" i="10"/>
  <c r="R340" i="10"/>
  <c r="O340" i="10"/>
  <c r="N340" i="10"/>
  <c r="M340" i="10"/>
  <c r="H340" i="10"/>
  <c r="E340" i="10"/>
  <c r="D340" i="10"/>
  <c r="C340" i="10"/>
  <c r="R339" i="10"/>
  <c r="O339" i="10"/>
  <c r="N339" i="10"/>
  <c r="M339" i="10"/>
  <c r="H339" i="10"/>
  <c r="E339" i="10"/>
  <c r="D339" i="10"/>
  <c r="C339" i="10"/>
  <c r="R338" i="10"/>
  <c r="O338" i="10"/>
  <c r="N338" i="10"/>
  <c r="M338" i="10"/>
  <c r="H338" i="10"/>
  <c r="E338" i="10"/>
  <c r="D338" i="10"/>
  <c r="C338" i="10"/>
  <c r="R337" i="10"/>
  <c r="O337" i="10"/>
  <c r="N337" i="10"/>
  <c r="M337" i="10"/>
  <c r="H337" i="10"/>
  <c r="E337" i="10"/>
  <c r="D337" i="10"/>
  <c r="C337" i="10"/>
  <c r="R336" i="10"/>
  <c r="O336" i="10"/>
  <c r="N336" i="10"/>
  <c r="M336" i="10"/>
  <c r="H336" i="10"/>
  <c r="E336" i="10"/>
  <c r="D336" i="10"/>
  <c r="C336" i="10"/>
  <c r="R335" i="10"/>
  <c r="O335" i="10"/>
  <c r="N335" i="10"/>
  <c r="M335" i="10"/>
  <c r="H335" i="10"/>
  <c r="E335" i="10"/>
  <c r="D335" i="10"/>
  <c r="C335" i="10"/>
  <c r="R334" i="10"/>
  <c r="O334" i="10"/>
  <c r="N334" i="10"/>
  <c r="M334" i="10"/>
  <c r="H334" i="10"/>
  <c r="E334" i="10"/>
  <c r="D334" i="10"/>
  <c r="C334" i="10"/>
  <c r="R333" i="10"/>
  <c r="O333" i="10"/>
  <c r="N333" i="10"/>
  <c r="M333" i="10"/>
  <c r="H333" i="10"/>
  <c r="E333" i="10"/>
  <c r="D333" i="10"/>
  <c r="C333" i="10"/>
  <c r="R332" i="10"/>
  <c r="O332" i="10"/>
  <c r="N332" i="10"/>
  <c r="M332" i="10"/>
  <c r="H332" i="10"/>
  <c r="E332" i="10"/>
  <c r="D332" i="10"/>
  <c r="C332" i="10"/>
  <c r="R331" i="10"/>
  <c r="O331" i="10"/>
  <c r="N331" i="10"/>
  <c r="M331" i="10"/>
  <c r="H331" i="10"/>
  <c r="E331" i="10"/>
  <c r="D331" i="10"/>
  <c r="C331" i="10"/>
  <c r="R330" i="10"/>
  <c r="O330" i="10"/>
  <c r="N330" i="10"/>
  <c r="M330" i="10"/>
  <c r="H330" i="10"/>
  <c r="E330" i="10"/>
  <c r="D330" i="10"/>
  <c r="C330" i="10"/>
  <c r="R329" i="10"/>
  <c r="O329" i="10"/>
  <c r="N329" i="10"/>
  <c r="M329" i="10"/>
  <c r="H329" i="10"/>
  <c r="E329" i="10"/>
  <c r="D329" i="10"/>
  <c r="C329" i="10"/>
  <c r="R328" i="10"/>
  <c r="O328" i="10"/>
  <c r="N328" i="10"/>
  <c r="M328" i="10"/>
  <c r="H328" i="10"/>
  <c r="E328" i="10"/>
  <c r="D328" i="10"/>
  <c r="C328" i="10"/>
  <c r="R327" i="10"/>
  <c r="O327" i="10"/>
  <c r="N327" i="10"/>
  <c r="M327" i="10"/>
  <c r="H327" i="10"/>
  <c r="E327" i="10"/>
  <c r="D327" i="10"/>
  <c r="C327" i="10"/>
  <c r="R326" i="10"/>
  <c r="O326" i="10"/>
  <c r="N326" i="10"/>
  <c r="M326" i="10"/>
  <c r="H326" i="10"/>
  <c r="E326" i="10"/>
  <c r="D326" i="10"/>
  <c r="C326" i="10"/>
  <c r="R325" i="10"/>
  <c r="O325" i="10"/>
  <c r="N325" i="10"/>
  <c r="M325" i="10"/>
  <c r="H325" i="10"/>
  <c r="E325" i="10"/>
  <c r="D325" i="10"/>
  <c r="C325" i="10"/>
  <c r="R324" i="10"/>
  <c r="O324" i="10"/>
  <c r="N324" i="10"/>
  <c r="M324" i="10"/>
  <c r="H324" i="10"/>
  <c r="E324" i="10"/>
  <c r="D324" i="10"/>
  <c r="C324" i="10"/>
  <c r="R323" i="10"/>
  <c r="O323" i="10"/>
  <c r="N323" i="10"/>
  <c r="M323" i="10"/>
  <c r="H323" i="10"/>
  <c r="E323" i="10"/>
  <c r="D323" i="10"/>
  <c r="C323" i="10"/>
  <c r="R322" i="10"/>
  <c r="O322" i="10"/>
  <c r="N322" i="10"/>
  <c r="M322" i="10"/>
  <c r="H322" i="10"/>
  <c r="E322" i="10"/>
  <c r="D322" i="10"/>
  <c r="C322" i="10"/>
  <c r="R320" i="10"/>
  <c r="O320" i="10"/>
  <c r="N320" i="10"/>
  <c r="M320" i="10"/>
  <c r="H320" i="10"/>
  <c r="E320" i="10"/>
  <c r="D320" i="10"/>
  <c r="C320" i="10"/>
  <c r="R319" i="10"/>
  <c r="O319" i="10"/>
  <c r="N319" i="10"/>
  <c r="M319" i="10"/>
  <c r="H319" i="10"/>
  <c r="E319" i="10"/>
  <c r="D319" i="10"/>
  <c r="C319" i="10"/>
  <c r="R318" i="10"/>
  <c r="O318" i="10"/>
  <c r="N318" i="10"/>
  <c r="M318" i="10"/>
  <c r="H318" i="10"/>
  <c r="E318" i="10"/>
  <c r="D318" i="10"/>
  <c r="C318" i="10"/>
  <c r="R317" i="10"/>
  <c r="O317" i="10"/>
  <c r="N317" i="10"/>
  <c r="M317" i="10"/>
  <c r="H317" i="10"/>
  <c r="E317" i="10"/>
  <c r="D317" i="10"/>
  <c r="C317" i="10"/>
  <c r="R316" i="10"/>
  <c r="O316" i="10"/>
  <c r="N316" i="10"/>
  <c r="M316" i="10"/>
  <c r="H316" i="10"/>
  <c r="E316" i="10"/>
  <c r="D316" i="10"/>
  <c r="C316" i="10"/>
  <c r="R315" i="10"/>
  <c r="O315" i="10"/>
  <c r="N315" i="10"/>
  <c r="M315" i="10"/>
  <c r="H315" i="10"/>
  <c r="E315" i="10"/>
  <c r="D315" i="10"/>
  <c r="C315" i="10"/>
  <c r="R314" i="10"/>
  <c r="O314" i="10"/>
  <c r="N314" i="10"/>
  <c r="M314" i="10"/>
  <c r="H314" i="10"/>
  <c r="E314" i="10"/>
  <c r="D314" i="10"/>
  <c r="C314" i="10"/>
  <c r="R313" i="10"/>
  <c r="O313" i="10"/>
  <c r="N313" i="10"/>
  <c r="M313" i="10"/>
  <c r="H313" i="10"/>
  <c r="E313" i="10"/>
  <c r="D313" i="10"/>
  <c r="C313" i="10"/>
  <c r="R312" i="10"/>
  <c r="O312" i="10"/>
  <c r="N312" i="10"/>
  <c r="M312" i="10"/>
  <c r="H312" i="10"/>
  <c r="E312" i="10"/>
  <c r="D312" i="10"/>
  <c r="C312" i="10"/>
  <c r="R311" i="10"/>
  <c r="O311" i="10"/>
  <c r="N311" i="10"/>
  <c r="M311" i="10"/>
  <c r="H311" i="10"/>
  <c r="E311" i="10"/>
  <c r="D311" i="10"/>
  <c r="C311" i="10"/>
  <c r="R310" i="10"/>
  <c r="O310" i="10"/>
  <c r="N310" i="10"/>
  <c r="M310" i="10"/>
  <c r="H310" i="10"/>
  <c r="E310" i="10"/>
  <c r="D310" i="10"/>
  <c r="C310" i="10"/>
  <c r="R309" i="10"/>
  <c r="O309" i="10"/>
  <c r="N309" i="10"/>
  <c r="M309" i="10"/>
  <c r="H309" i="10"/>
  <c r="E309" i="10"/>
  <c r="D309" i="10"/>
  <c r="C309" i="10"/>
  <c r="R308" i="10"/>
  <c r="O308" i="10"/>
  <c r="N308" i="10"/>
  <c r="M308" i="10"/>
  <c r="H308" i="10"/>
  <c r="E308" i="10"/>
  <c r="D308" i="10"/>
  <c r="C308" i="10"/>
  <c r="R307" i="10"/>
  <c r="O307" i="10"/>
  <c r="N307" i="10"/>
  <c r="M307" i="10"/>
  <c r="H307" i="10"/>
  <c r="E307" i="10"/>
  <c r="D307" i="10"/>
  <c r="C307" i="10"/>
  <c r="R306" i="10"/>
  <c r="O306" i="10"/>
  <c r="N306" i="10"/>
  <c r="M306" i="10"/>
  <c r="H306" i="10"/>
  <c r="E306" i="10"/>
  <c r="D306" i="10"/>
  <c r="C306" i="10"/>
  <c r="R305" i="10"/>
  <c r="O305" i="10"/>
  <c r="N305" i="10"/>
  <c r="M305" i="10"/>
  <c r="H305" i="10"/>
  <c r="E305" i="10"/>
  <c r="D305" i="10"/>
  <c r="C305" i="10"/>
  <c r="R304" i="10"/>
  <c r="O304" i="10"/>
  <c r="N304" i="10"/>
  <c r="M304" i="10"/>
  <c r="H304" i="10"/>
  <c r="E304" i="10"/>
  <c r="D304" i="10"/>
  <c r="C304" i="10"/>
  <c r="R303" i="10"/>
  <c r="O303" i="10"/>
  <c r="N303" i="10"/>
  <c r="M303" i="10"/>
  <c r="H303" i="10"/>
  <c r="E303" i="10"/>
  <c r="D303" i="10"/>
  <c r="C303" i="10"/>
  <c r="R302" i="10"/>
  <c r="O302" i="10"/>
  <c r="N302" i="10"/>
  <c r="M302" i="10"/>
  <c r="H302" i="10"/>
  <c r="E302" i="10"/>
  <c r="D302" i="10"/>
  <c r="C302" i="10"/>
  <c r="R301" i="10"/>
  <c r="O301" i="10"/>
  <c r="N301" i="10"/>
  <c r="M301" i="10"/>
  <c r="H301" i="10"/>
  <c r="E301" i="10"/>
  <c r="D301" i="10"/>
  <c r="C301" i="10"/>
  <c r="R300" i="10"/>
  <c r="O300" i="10"/>
  <c r="N300" i="10"/>
  <c r="M300" i="10"/>
  <c r="H300" i="10"/>
  <c r="E300" i="10"/>
  <c r="D300" i="10"/>
  <c r="C300" i="10"/>
  <c r="R299" i="10"/>
  <c r="O299" i="10"/>
  <c r="N299" i="10"/>
  <c r="M299" i="10"/>
  <c r="H299" i="10"/>
  <c r="E299" i="10"/>
  <c r="D299" i="10"/>
  <c r="C299" i="10"/>
  <c r="R298" i="10"/>
  <c r="O298" i="10"/>
  <c r="N298" i="10"/>
  <c r="M298" i="10"/>
  <c r="H298" i="10"/>
  <c r="E298" i="10"/>
  <c r="D298" i="10"/>
  <c r="C298" i="10"/>
  <c r="R297" i="10"/>
  <c r="O297" i="10"/>
  <c r="N297" i="10"/>
  <c r="M297" i="10"/>
  <c r="H297" i="10"/>
  <c r="E297" i="10"/>
  <c r="D297" i="10"/>
  <c r="C297" i="10"/>
  <c r="R296" i="10"/>
  <c r="O296" i="10"/>
  <c r="N296" i="10"/>
  <c r="M296" i="10"/>
  <c r="H296" i="10"/>
  <c r="E296" i="10"/>
  <c r="D296" i="10"/>
  <c r="C296" i="10"/>
  <c r="R295" i="10"/>
  <c r="O295" i="10"/>
  <c r="N295" i="10"/>
  <c r="M295" i="10"/>
  <c r="H295" i="10"/>
  <c r="E295" i="10"/>
  <c r="D295" i="10"/>
  <c r="C295" i="10"/>
  <c r="R294" i="10"/>
  <c r="O294" i="10"/>
  <c r="N294" i="10"/>
  <c r="M294" i="10"/>
  <c r="H294" i="10"/>
  <c r="E294" i="10"/>
  <c r="D294" i="10"/>
  <c r="C294" i="10"/>
  <c r="R293" i="10"/>
  <c r="O293" i="10"/>
  <c r="N293" i="10"/>
  <c r="M293" i="10"/>
  <c r="H293" i="10"/>
  <c r="E293" i="10"/>
  <c r="D293" i="10"/>
  <c r="C293" i="10"/>
  <c r="R292" i="10"/>
  <c r="O292" i="10"/>
  <c r="N292" i="10"/>
  <c r="M292" i="10"/>
  <c r="H292" i="10"/>
  <c r="E292" i="10"/>
  <c r="D292" i="10"/>
  <c r="C292" i="10"/>
  <c r="R291" i="10"/>
  <c r="O291" i="10"/>
  <c r="N291" i="10"/>
  <c r="M291" i="10"/>
  <c r="H291" i="10"/>
  <c r="E291" i="10"/>
  <c r="D291" i="10"/>
  <c r="C291" i="10"/>
  <c r="R290" i="10"/>
  <c r="O290" i="10"/>
  <c r="N290" i="10"/>
  <c r="M290" i="10"/>
  <c r="H290" i="10"/>
  <c r="E290" i="10"/>
  <c r="D290" i="10"/>
  <c r="C290" i="10"/>
  <c r="R289" i="10"/>
  <c r="O289" i="10"/>
  <c r="N289" i="10"/>
  <c r="M289" i="10"/>
  <c r="H289" i="10"/>
  <c r="E289" i="10"/>
  <c r="D289" i="10"/>
  <c r="C289" i="10"/>
  <c r="R288" i="10"/>
  <c r="O288" i="10"/>
  <c r="N288" i="10"/>
  <c r="M288" i="10"/>
  <c r="H288" i="10"/>
  <c r="E288" i="10"/>
  <c r="D288" i="10"/>
  <c r="C288" i="10"/>
  <c r="R287" i="10"/>
  <c r="O287" i="10"/>
  <c r="N287" i="10"/>
  <c r="M287" i="10"/>
  <c r="H287" i="10"/>
  <c r="E287" i="10"/>
  <c r="D287" i="10"/>
  <c r="C287" i="10"/>
  <c r="A284" i="10"/>
  <c r="K284" i="10" s="1"/>
  <c r="H280" i="10"/>
  <c r="E280" i="10"/>
  <c r="D280" i="10"/>
  <c r="C280" i="10"/>
  <c r="H279" i="10"/>
  <c r="E279" i="10"/>
  <c r="D279" i="10"/>
  <c r="C279" i="10"/>
  <c r="H278" i="10"/>
  <c r="E278" i="10"/>
  <c r="D278" i="10"/>
  <c r="C278" i="10"/>
  <c r="H277" i="10"/>
  <c r="E277" i="10"/>
  <c r="D277" i="10"/>
  <c r="C277" i="10"/>
  <c r="H276" i="10"/>
  <c r="E276" i="10"/>
  <c r="D276" i="10"/>
  <c r="C276" i="10"/>
  <c r="H275" i="10"/>
  <c r="E275" i="10"/>
  <c r="D275" i="10"/>
  <c r="C275" i="10"/>
  <c r="H274" i="10"/>
  <c r="E274" i="10"/>
  <c r="D274" i="10"/>
  <c r="C274" i="10"/>
  <c r="H273" i="10"/>
  <c r="E273" i="10"/>
  <c r="D273" i="10"/>
  <c r="C273" i="10"/>
  <c r="H272" i="10"/>
  <c r="E272" i="10"/>
  <c r="D272" i="10"/>
  <c r="C272" i="10"/>
  <c r="H271" i="10"/>
  <c r="E271" i="10"/>
  <c r="D271" i="10"/>
  <c r="C271" i="10"/>
  <c r="H270" i="10"/>
  <c r="E270" i="10"/>
  <c r="D270" i="10"/>
  <c r="C270" i="10"/>
  <c r="H269" i="10"/>
  <c r="E269" i="10"/>
  <c r="D269" i="10"/>
  <c r="C269" i="10"/>
  <c r="H268" i="10"/>
  <c r="E268" i="10"/>
  <c r="D268" i="10"/>
  <c r="C268" i="10"/>
  <c r="H267" i="10"/>
  <c r="E267" i="10"/>
  <c r="D267" i="10"/>
  <c r="C267" i="10"/>
  <c r="H266" i="10"/>
  <c r="E266" i="10"/>
  <c r="D266" i="10"/>
  <c r="C266" i="10"/>
  <c r="H265" i="10"/>
  <c r="E265" i="10"/>
  <c r="D265" i="10"/>
  <c r="C265" i="10"/>
  <c r="H264" i="10"/>
  <c r="E264" i="10"/>
  <c r="D264" i="10"/>
  <c r="C264" i="10"/>
  <c r="H263" i="10"/>
  <c r="E263" i="10"/>
  <c r="D263" i="10"/>
  <c r="C263" i="10"/>
  <c r="H262" i="10"/>
  <c r="E262" i="10"/>
  <c r="D262" i="10"/>
  <c r="C262" i="10"/>
  <c r="H261" i="10"/>
  <c r="E261" i="10"/>
  <c r="D261" i="10"/>
  <c r="C261" i="10"/>
  <c r="H260" i="10"/>
  <c r="E260" i="10"/>
  <c r="D260" i="10"/>
  <c r="C260" i="10"/>
  <c r="H259" i="10"/>
  <c r="E259" i="10"/>
  <c r="D259" i="10"/>
  <c r="C259" i="10"/>
  <c r="H258" i="10"/>
  <c r="E258" i="10"/>
  <c r="D258" i="10"/>
  <c r="C258" i="10"/>
  <c r="H257" i="10"/>
  <c r="E257" i="10"/>
  <c r="D257" i="10"/>
  <c r="C257" i="10"/>
  <c r="H256" i="10"/>
  <c r="E256" i="10"/>
  <c r="D256" i="10"/>
  <c r="C256" i="10"/>
  <c r="H255" i="10"/>
  <c r="E255" i="10"/>
  <c r="D255" i="10"/>
  <c r="C255" i="10"/>
  <c r="H254" i="10"/>
  <c r="E254" i="10"/>
  <c r="D254" i="10"/>
  <c r="C254" i="10"/>
  <c r="H253" i="10"/>
  <c r="E253" i="10"/>
  <c r="D253" i="10"/>
  <c r="C253" i="10"/>
  <c r="H252" i="10"/>
  <c r="E252" i="10"/>
  <c r="D252" i="10"/>
  <c r="C252" i="10"/>
  <c r="H251" i="10"/>
  <c r="E251" i="10"/>
  <c r="D251" i="10"/>
  <c r="C251" i="10"/>
  <c r="H250" i="10"/>
  <c r="E250" i="10"/>
  <c r="D250" i="10"/>
  <c r="C250" i="10"/>
  <c r="H249" i="10"/>
  <c r="E249" i="10"/>
  <c r="D249" i="10"/>
  <c r="C249" i="10"/>
  <c r="H248" i="10"/>
  <c r="E248" i="10"/>
  <c r="D248" i="10"/>
  <c r="C248" i="10"/>
  <c r="H247" i="10"/>
  <c r="E247" i="10"/>
  <c r="D247" i="10"/>
  <c r="C247" i="10"/>
  <c r="R245" i="10"/>
  <c r="O245" i="10"/>
  <c r="N245" i="10"/>
  <c r="M245" i="10"/>
  <c r="H245" i="10"/>
  <c r="E245" i="10"/>
  <c r="D245" i="10"/>
  <c r="C245" i="10"/>
  <c r="R244" i="10"/>
  <c r="O244" i="10"/>
  <c r="N244" i="10"/>
  <c r="M244" i="10"/>
  <c r="H244" i="10"/>
  <c r="E244" i="10"/>
  <c r="D244" i="10"/>
  <c r="C244" i="10"/>
  <c r="R243" i="10"/>
  <c r="O243" i="10"/>
  <c r="N243" i="10"/>
  <c r="M243" i="10"/>
  <c r="H243" i="10"/>
  <c r="E243" i="10"/>
  <c r="D243" i="10"/>
  <c r="C243" i="10"/>
  <c r="R242" i="10"/>
  <c r="O242" i="10"/>
  <c r="N242" i="10"/>
  <c r="M242" i="10"/>
  <c r="H242" i="10"/>
  <c r="E242" i="10"/>
  <c r="D242" i="10"/>
  <c r="C242" i="10"/>
  <c r="R241" i="10"/>
  <c r="O241" i="10"/>
  <c r="N241" i="10"/>
  <c r="M241" i="10"/>
  <c r="H241" i="10"/>
  <c r="E241" i="10"/>
  <c r="D241" i="10"/>
  <c r="C241" i="10"/>
  <c r="R240" i="10"/>
  <c r="O240" i="10"/>
  <c r="N240" i="10"/>
  <c r="M240" i="10"/>
  <c r="H240" i="10"/>
  <c r="E240" i="10"/>
  <c r="D240" i="10"/>
  <c r="C240" i="10"/>
  <c r="R239" i="10"/>
  <c r="O239" i="10"/>
  <c r="N239" i="10"/>
  <c r="M239" i="10"/>
  <c r="H239" i="10"/>
  <c r="E239" i="10"/>
  <c r="D239" i="10"/>
  <c r="C239" i="10"/>
  <c r="R238" i="10"/>
  <c r="O238" i="10"/>
  <c r="N238" i="10"/>
  <c r="M238" i="10"/>
  <c r="H238" i="10"/>
  <c r="E238" i="10"/>
  <c r="D238" i="10"/>
  <c r="C238" i="10"/>
  <c r="R237" i="10"/>
  <c r="O237" i="10"/>
  <c r="N237" i="10"/>
  <c r="M237" i="10"/>
  <c r="H237" i="10"/>
  <c r="E237" i="10"/>
  <c r="D237" i="10"/>
  <c r="C237" i="10"/>
  <c r="R236" i="10"/>
  <c r="O236" i="10"/>
  <c r="N236" i="10"/>
  <c r="M236" i="10"/>
  <c r="H236" i="10"/>
  <c r="E236" i="10"/>
  <c r="D236" i="10"/>
  <c r="C236" i="10"/>
  <c r="R235" i="10"/>
  <c r="O235" i="10"/>
  <c r="N235" i="10"/>
  <c r="M235" i="10"/>
  <c r="H235" i="10"/>
  <c r="E235" i="10"/>
  <c r="D235" i="10"/>
  <c r="C235" i="10"/>
  <c r="R234" i="10"/>
  <c r="O234" i="10"/>
  <c r="N234" i="10"/>
  <c r="M234" i="10"/>
  <c r="H234" i="10"/>
  <c r="E234" i="10"/>
  <c r="D234" i="10"/>
  <c r="C234" i="10"/>
  <c r="R233" i="10"/>
  <c r="O233" i="10"/>
  <c r="N233" i="10"/>
  <c r="M233" i="10"/>
  <c r="H233" i="10"/>
  <c r="E233" i="10"/>
  <c r="D233" i="10"/>
  <c r="C233" i="10"/>
  <c r="R232" i="10"/>
  <c r="O232" i="10"/>
  <c r="N232" i="10"/>
  <c r="M232" i="10"/>
  <c r="H232" i="10"/>
  <c r="E232" i="10"/>
  <c r="D232" i="10"/>
  <c r="C232" i="10"/>
  <c r="R231" i="10"/>
  <c r="O231" i="10"/>
  <c r="N231" i="10"/>
  <c r="M231" i="10"/>
  <c r="H231" i="10"/>
  <c r="E231" i="10"/>
  <c r="D231" i="10"/>
  <c r="C231" i="10"/>
  <c r="R230" i="10"/>
  <c r="O230" i="10"/>
  <c r="N230" i="10"/>
  <c r="M230" i="10"/>
  <c r="H230" i="10"/>
  <c r="E230" i="10"/>
  <c r="D230" i="10"/>
  <c r="C230" i="10"/>
  <c r="R229" i="10"/>
  <c r="O229" i="10"/>
  <c r="N229" i="10"/>
  <c r="M229" i="10"/>
  <c r="H229" i="10"/>
  <c r="E229" i="10"/>
  <c r="D229" i="10"/>
  <c r="C229" i="10"/>
  <c r="R228" i="10"/>
  <c r="O228" i="10"/>
  <c r="N228" i="10"/>
  <c r="M228" i="10"/>
  <c r="H228" i="10"/>
  <c r="E228" i="10"/>
  <c r="D228" i="10"/>
  <c r="C228" i="10"/>
  <c r="R227" i="10"/>
  <c r="O227" i="10"/>
  <c r="N227" i="10"/>
  <c r="M227" i="10"/>
  <c r="H227" i="10"/>
  <c r="E227" i="10"/>
  <c r="D227" i="10"/>
  <c r="C227" i="10"/>
  <c r="R226" i="10"/>
  <c r="O226" i="10"/>
  <c r="N226" i="10"/>
  <c r="M226" i="10"/>
  <c r="H226" i="10"/>
  <c r="E226" i="10"/>
  <c r="D226" i="10"/>
  <c r="C226" i="10"/>
  <c r="R225" i="10"/>
  <c r="O225" i="10"/>
  <c r="N225" i="10"/>
  <c r="M225" i="10"/>
  <c r="H225" i="10"/>
  <c r="E225" i="10"/>
  <c r="D225" i="10"/>
  <c r="C225" i="10"/>
  <c r="R224" i="10"/>
  <c r="O224" i="10"/>
  <c r="N224" i="10"/>
  <c r="M224" i="10"/>
  <c r="H224" i="10"/>
  <c r="E224" i="10"/>
  <c r="D224" i="10"/>
  <c r="C224" i="10"/>
  <c r="R223" i="10"/>
  <c r="O223" i="10"/>
  <c r="N223" i="10"/>
  <c r="M223" i="10"/>
  <c r="H223" i="10"/>
  <c r="E223" i="10"/>
  <c r="D223" i="10"/>
  <c r="C223" i="10"/>
  <c r="R222" i="10"/>
  <c r="O222" i="10"/>
  <c r="N222" i="10"/>
  <c r="M222" i="10"/>
  <c r="H222" i="10"/>
  <c r="E222" i="10"/>
  <c r="D222" i="10"/>
  <c r="C222" i="10"/>
  <c r="R221" i="10"/>
  <c r="O221" i="10"/>
  <c r="N221" i="10"/>
  <c r="M221" i="10"/>
  <c r="H221" i="10"/>
  <c r="E221" i="10"/>
  <c r="D221" i="10"/>
  <c r="C221" i="10"/>
  <c r="R220" i="10"/>
  <c r="O220" i="10"/>
  <c r="N220" i="10"/>
  <c r="M220" i="10"/>
  <c r="H220" i="10"/>
  <c r="E220" i="10"/>
  <c r="D220" i="10"/>
  <c r="C220" i="10"/>
  <c r="R219" i="10"/>
  <c r="O219" i="10"/>
  <c r="N219" i="10"/>
  <c r="M219" i="10"/>
  <c r="H219" i="10"/>
  <c r="E219" i="10"/>
  <c r="D219" i="10"/>
  <c r="C219" i="10"/>
  <c r="R218" i="10"/>
  <c r="O218" i="10"/>
  <c r="N218" i="10"/>
  <c r="M218" i="10"/>
  <c r="H218" i="10"/>
  <c r="E218" i="10"/>
  <c r="D218" i="10"/>
  <c r="C218" i="10"/>
  <c r="R217" i="10"/>
  <c r="O217" i="10"/>
  <c r="N217" i="10"/>
  <c r="M217" i="10"/>
  <c r="H217" i="10"/>
  <c r="E217" i="10"/>
  <c r="D217" i="10"/>
  <c r="C217" i="10"/>
  <c r="R216" i="10"/>
  <c r="O216" i="10"/>
  <c r="N216" i="10"/>
  <c r="M216" i="10"/>
  <c r="H216" i="10"/>
  <c r="E216" i="10"/>
  <c r="D216" i="10"/>
  <c r="C216" i="10"/>
  <c r="R215" i="10"/>
  <c r="O215" i="10"/>
  <c r="N215" i="10"/>
  <c r="M215" i="10"/>
  <c r="H215" i="10"/>
  <c r="E215" i="10"/>
  <c r="D215" i="10"/>
  <c r="C215" i="10"/>
  <c r="R214" i="10"/>
  <c r="O214" i="10"/>
  <c r="N214" i="10"/>
  <c r="M214" i="10"/>
  <c r="H214" i="10"/>
  <c r="E214" i="10"/>
  <c r="D214" i="10"/>
  <c r="C214" i="10"/>
  <c r="R213" i="10"/>
  <c r="O213" i="10"/>
  <c r="N213" i="10"/>
  <c r="M213" i="10"/>
  <c r="H213" i="10"/>
  <c r="E213" i="10"/>
  <c r="D213" i="10"/>
  <c r="C213" i="10"/>
  <c r="R212" i="10"/>
  <c r="O212" i="10"/>
  <c r="N212" i="10"/>
  <c r="M212" i="10"/>
  <c r="H212" i="10"/>
  <c r="E212" i="10"/>
  <c r="D212" i="10"/>
  <c r="C212" i="10"/>
  <c r="R210" i="10"/>
  <c r="O210" i="10"/>
  <c r="N210" i="10"/>
  <c r="M210" i="10"/>
  <c r="H210" i="10"/>
  <c r="E210" i="10"/>
  <c r="D210" i="10"/>
  <c r="C210" i="10"/>
  <c r="R209" i="10"/>
  <c r="O209" i="10"/>
  <c r="N209" i="10"/>
  <c r="M209" i="10"/>
  <c r="H209" i="10"/>
  <c r="E209" i="10"/>
  <c r="D209" i="10"/>
  <c r="C209" i="10"/>
  <c r="R208" i="10"/>
  <c r="O208" i="10"/>
  <c r="N208" i="10"/>
  <c r="M208" i="10"/>
  <c r="H208" i="10"/>
  <c r="E208" i="10"/>
  <c r="D208" i="10"/>
  <c r="C208" i="10"/>
  <c r="R207" i="10"/>
  <c r="O207" i="10"/>
  <c r="N207" i="10"/>
  <c r="M207" i="10"/>
  <c r="H207" i="10"/>
  <c r="E207" i="10"/>
  <c r="D207" i="10"/>
  <c r="C207" i="10"/>
  <c r="R206" i="10"/>
  <c r="O206" i="10"/>
  <c r="N206" i="10"/>
  <c r="M206" i="10"/>
  <c r="H206" i="10"/>
  <c r="E206" i="10"/>
  <c r="D206" i="10"/>
  <c r="C206" i="10"/>
  <c r="R205" i="10"/>
  <c r="O205" i="10"/>
  <c r="N205" i="10"/>
  <c r="M205" i="10"/>
  <c r="H205" i="10"/>
  <c r="E205" i="10"/>
  <c r="D205" i="10"/>
  <c r="C205" i="10"/>
  <c r="R204" i="10"/>
  <c r="O204" i="10"/>
  <c r="N204" i="10"/>
  <c r="M204" i="10"/>
  <c r="H204" i="10"/>
  <c r="E204" i="10"/>
  <c r="D204" i="10"/>
  <c r="C204" i="10"/>
  <c r="R203" i="10"/>
  <c r="O203" i="10"/>
  <c r="N203" i="10"/>
  <c r="M203" i="10"/>
  <c r="H203" i="10"/>
  <c r="E203" i="10"/>
  <c r="D203" i="10"/>
  <c r="C203" i="10"/>
  <c r="R202" i="10"/>
  <c r="O202" i="10"/>
  <c r="N202" i="10"/>
  <c r="M202" i="10"/>
  <c r="H202" i="10"/>
  <c r="E202" i="10"/>
  <c r="D202" i="10"/>
  <c r="C202" i="10"/>
  <c r="R201" i="10"/>
  <c r="O201" i="10"/>
  <c r="N201" i="10"/>
  <c r="M201" i="10"/>
  <c r="H201" i="10"/>
  <c r="E201" i="10"/>
  <c r="D201" i="10"/>
  <c r="C201" i="10"/>
  <c r="R200" i="10"/>
  <c r="O200" i="10"/>
  <c r="N200" i="10"/>
  <c r="M200" i="10"/>
  <c r="H200" i="10"/>
  <c r="E200" i="10"/>
  <c r="D200" i="10"/>
  <c r="C200" i="10"/>
  <c r="R199" i="10"/>
  <c r="O199" i="10"/>
  <c r="N199" i="10"/>
  <c r="M199" i="10"/>
  <c r="H199" i="10"/>
  <c r="E199" i="10"/>
  <c r="D199" i="10"/>
  <c r="C199" i="10"/>
  <c r="R198" i="10"/>
  <c r="O198" i="10"/>
  <c r="N198" i="10"/>
  <c r="M198" i="10"/>
  <c r="H198" i="10"/>
  <c r="E198" i="10"/>
  <c r="D198" i="10"/>
  <c r="C198" i="10"/>
  <c r="R197" i="10"/>
  <c r="O197" i="10"/>
  <c r="N197" i="10"/>
  <c r="M197" i="10"/>
  <c r="H197" i="10"/>
  <c r="E197" i="10"/>
  <c r="D197" i="10"/>
  <c r="C197" i="10"/>
  <c r="R196" i="10"/>
  <c r="O196" i="10"/>
  <c r="N196" i="10"/>
  <c r="M196" i="10"/>
  <c r="H196" i="10"/>
  <c r="E196" i="10"/>
  <c r="D196" i="10"/>
  <c r="C196" i="10"/>
  <c r="R195" i="10"/>
  <c r="O195" i="10"/>
  <c r="N195" i="10"/>
  <c r="M195" i="10"/>
  <c r="H195" i="10"/>
  <c r="E195" i="10"/>
  <c r="D195" i="10"/>
  <c r="C195" i="10"/>
  <c r="R194" i="10"/>
  <c r="O194" i="10"/>
  <c r="N194" i="10"/>
  <c r="M194" i="10"/>
  <c r="H194" i="10"/>
  <c r="G194" i="10"/>
  <c r="E194" i="10"/>
  <c r="D194" i="10"/>
  <c r="C194" i="10"/>
  <c r="R193" i="10"/>
  <c r="O193" i="10"/>
  <c r="N193" i="10"/>
  <c r="M193" i="10"/>
  <c r="H193" i="10"/>
  <c r="E193" i="10"/>
  <c r="D193" i="10"/>
  <c r="C193" i="10"/>
  <c r="R192" i="10"/>
  <c r="O192" i="10"/>
  <c r="N192" i="10"/>
  <c r="M192" i="10"/>
  <c r="H192" i="10"/>
  <c r="E192" i="10"/>
  <c r="D192" i="10"/>
  <c r="C192" i="10"/>
  <c r="R191" i="10"/>
  <c r="O191" i="10"/>
  <c r="N191" i="10"/>
  <c r="M191" i="10"/>
  <c r="H191" i="10"/>
  <c r="E191" i="10"/>
  <c r="D191" i="10"/>
  <c r="C191" i="10"/>
  <c r="R190" i="10"/>
  <c r="O190" i="10"/>
  <c r="N190" i="10"/>
  <c r="M190" i="10"/>
  <c r="H190" i="10"/>
  <c r="E190" i="10"/>
  <c r="D190" i="10"/>
  <c r="C190" i="10"/>
  <c r="R189" i="10"/>
  <c r="O189" i="10"/>
  <c r="N189" i="10"/>
  <c r="M189" i="10"/>
  <c r="H189" i="10"/>
  <c r="E189" i="10"/>
  <c r="D189" i="10"/>
  <c r="C189" i="10"/>
  <c r="R188" i="10"/>
  <c r="O188" i="10"/>
  <c r="N188" i="10"/>
  <c r="M188" i="10"/>
  <c r="H188" i="10"/>
  <c r="E188" i="10"/>
  <c r="D188" i="10"/>
  <c r="C188" i="10"/>
  <c r="R187" i="10"/>
  <c r="O187" i="10"/>
  <c r="N187" i="10"/>
  <c r="M187" i="10"/>
  <c r="H187" i="10"/>
  <c r="E187" i="10"/>
  <c r="D187" i="10"/>
  <c r="C187" i="10"/>
  <c r="R186" i="10"/>
  <c r="O186" i="10"/>
  <c r="N186" i="10"/>
  <c r="M186" i="10"/>
  <c r="H186" i="10"/>
  <c r="E186" i="10"/>
  <c r="D186" i="10"/>
  <c r="C186" i="10"/>
  <c r="R185" i="10"/>
  <c r="O185" i="10"/>
  <c r="N185" i="10"/>
  <c r="M185" i="10"/>
  <c r="H185" i="10"/>
  <c r="E185" i="10"/>
  <c r="D185" i="10"/>
  <c r="C185" i="10"/>
  <c r="R184" i="10"/>
  <c r="O184" i="10"/>
  <c r="N184" i="10"/>
  <c r="M184" i="10"/>
  <c r="H184" i="10"/>
  <c r="E184" i="10"/>
  <c r="D184" i="10"/>
  <c r="C184" i="10"/>
  <c r="R183" i="10"/>
  <c r="O183" i="10"/>
  <c r="N183" i="10"/>
  <c r="M183" i="10"/>
  <c r="H183" i="10"/>
  <c r="E183" i="10"/>
  <c r="D183" i="10"/>
  <c r="C183" i="10"/>
  <c r="R182" i="10"/>
  <c r="O182" i="10"/>
  <c r="N182" i="10"/>
  <c r="M182" i="10"/>
  <c r="H182" i="10"/>
  <c r="E182" i="10"/>
  <c r="D182" i="10"/>
  <c r="C182" i="10"/>
  <c r="R181" i="10"/>
  <c r="O181" i="10"/>
  <c r="N181" i="10"/>
  <c r="M181" i="10"/>
  <c r="H181" i="10"/>
  <c r="E181" i="10"/>
  <c r="D181" i="10"/>
  <c r="C181" i="10"/>
  <c r="R180" i="10"/>
  <c r="O180" i="10"/>
  <c r="N180" i="10"/>
  <c r="M180" i="10"/>
  <c r="H180" i="10"/>
  <c r="E180" i="10"/>
  <c r="D180" i="10"/>
  <c r="C180" i="10"/>
  <c r="R179" i="10"/>
  <c r="O179" i="10"/>
  <c r="N179" i="10"/>
  <c r="M179" i="10"/>
  <c r="H179" i="10"/>
  <c r="E179" i="10"/>
  <c r="D179" i="10"/>
  <c r="C179" i="10"/>
  <c r="R178" i="10"/>
  <c r="O178" i="10"/>
  <c r="N178" i="10"/>
  <c r="M178" i="10"/>
  <c r="H178" i="10"/>
  <c r="E178" i="10"/>
  <c r="D178" i="10"/>
  <c r="C178" i="10"/>
  <c r="R177" i="10"/>
  <c r="O177" i="10"/>
  <c r="N177" i="10"/>
  <c r="M177" i="10"/>
  <c r="H177" i="10"/>
  <c r="E177" i="10"/>
  <c r="D177" i="10"/>
  <c r="C177" i="10"/>
  <c r="R175" i="10"/>
  <c r="O175" i="10"/>
  <c r="N175" i="10"/>
  <c r="M175" i="10"/>
  <c r="H175" i="10"/>
  <c r="E175" i="10"/>
  <c r="D175" i="10"/>
  <c r="C175" i="10"/>
  <c r="R174" i="10"/>
  <c r="O174" i="10"/>
  <c r="N174" i="10"/>
  <c r="M174" i="10"/>
  <c r="H174" i="10"/>
  <c r="E174" i="10"/>
  <c r="D174" i="10"/>
  <c r="C174" i="10"/>
  <c r="R173" i="10"/>
  <c r="O173" i="10"/>
  <c r="N173" i="10"/>
  <c r="M173" i="10"/>
  <c r="H173" i="10"/>
  <c r="E173" i="10"/>
  <c r="D173" i="10"/>
  <c r="C173" i="10"/>
  <c r="R172" i="10"/>
  <c r="O172" i="10"/>
  <c r="N172" i="10"/>
  <c r="M172" i="10"/>
  <c r="H172" i="10"/>
  <c r="E172" i="10"/>
  <c r="D172" i="10"/>
  <c r="C172" i="10"/>
  <c r="R171" i="10"/>
  <c r="O171" i="10"/>
  <c r="N171" i="10"/>
  <c r="M171" i="10"/>
  <c r="H171" i="10"/>
  <c r="E171" i="10"/>
  <c r="D171" i="10"/>
  <c r="C171" i="10"/>
  <c r="R170" i="10"/>
  <c r="O170" i="10"/>
  <c r="N170" i="10"/>
  <c r="M170" i="10"/>
  <c r="H170" i="10"/>
  <c r="E170" i="10"/>
  <c r="D170" i="10"/>
  <c r="C170" i="10"/>
  <c r="R169" i="10"/>
  <c r="O169" i="10"/>
  <c r="N169" i="10"/>
  <c r="M169" i="10"/>
  <c r="H169" i="10"/>
  <c r="E169" i="10"/>
  <c r="D169" i="10"/>
  <c r="C169" i="10"/>
  <c r="R168" i="10"/>
  <c r="O168" i="10"/>
  <c r="N168" i="10"/>
  <c r="M168" i="10"/>
  <c r="H168" i="10"/>
  <c r="E168" i="10"/>
  <c r="D168" i="10"/>
  <c r="C168" i="10"/>
  <c r="R167" i="10"/>
  <c r="O167" i="10"/>
  <c r="N167" i="10"/>
  <c r="M167" i="10"/>
  <c r="H167" i="10"/>
  <c r="E167" i="10"/>
  <c r="D167" i="10"/>
  <c r="C167" i="10"/>
  <c r="R166" i="10"/>
  <c r="O166" i="10"/>
  <c r="N166" i="10"/>
  <c r="M166" i="10"/>
  <c r="H166" i="10"/>
  <c r="E166" i="10"/>
  <c r="D166" i="10"/>
  <c r="C166" i="10"/>
  <c r="R165" i="10"/>
  <c r="O165" i="10"/>
  <c r="N165" i="10"/>
  <c r="M165" i="10"/>
  <c r="H165" i="10"/>
  <c r="E165" i="10"/>
  <c r="D165" i="10"/>
  <c r="C165" i="10"/>
  <c r="R164" i="10"/>
  <c r="O164" i="10"/>
  <c r="N164" i="10"/>
  <c r="M164" i="10"/>
  <c r="H164" i="10"/>
  <c r="E164" i="10"/>
  <c r="D164" i="10"/>
  <c r="C164" i="10"/>
  <c r="R163" i="10"/>
  <c r="O163" i="10"/>
  <c r="N163" i="10"/>
  <c r="M163" i="10"/>
  <c r="H163" i="10"/>
  <c r="E163" i="10"/>
  <c r="D163" i="10"/>
  <c r="C163" i="10"/>
  <c r="R162" i="10"/>
  <c r="O162" i="10"/>
  <c r="N162" i="10"/>
  <c r="M162" i="10"/>
  <c r="H162" i="10"/>
  <c r="E162" i="10"/>
  <c r="D162" i="10"/>
  <c r="C162" i="10"/>
  <c r="R161" i="10"/>
  <c r="O161" i="10"/>
  <c r="N161" i="10"/>
  <c r="M161" i="10"/>
  <c r="H161" i="10"/>
  <c r="E161" i="10"/>
  <c r="D161" i="10"/>
  <c r="C161" i="10"/>
  <c r="R160" i="10"/>
  <c r="O160" i="10"/>
  <c r="N160" i="10"/>
  <c r="M160" i="10"/>
  <c r="H160" i="10"/>
  <c r="E160" i="10"/>
  <c r="D160" i="10"/>
  <c r="C160" i="10"/>
  <c r="R159" i="10"/>
  <c r="O159" i="10"/>
  <c r="N159" i="10"/>
  <c r="M159" i="10"/>
  <c r="H159" i="10"/>
  <c r="E159" i="10"/>
  <c r="D159" i="10"/>
  <c r="C159" i="10"/>
  <c r="R158" i="10"/>
  <c r="O158" i="10"/>
  <c r="N158" i="10"/>
  <c r="M158" i="10"/>
  <c r="H158" i="10"/>
  <c r="E158" i="10"/>
  <c r="D158" i="10"/>
  <c r="C158" i="10"/>
  <c r="R157" i="10"/>
  <c r="O157" i="10"/>
  <c r="N157" i="10"/>
  <c r="M157" i="10"/>
  <c r="H157" i="10"/>
  <c r="E157" i="10"/>
  <c r="D157" i="10"/>
  <c r="C157" i="10"/>
  <c r="R156" i="10"/>
  <c r="Q156" i="10"/>
  <c r="O156" i="10"/>
  <c r="N156" i="10"/>
  <c r="M156" i="10"/>
  <c r="H156" i="10"/>
  <c r="E156" i="10"/>
  <c r="D156" i="10"/>
  <c r="C156" i="10"/>
  <c r="R155" i="10"/>
  <c r="O155" i="10"/>
  <c r="N155" i="10"/>
  <c r="M155" i="10"/>
  <c r="H155" i="10"/>
  <c r="E155" i="10"/>
  <c r="D155" i="10"/>
  <c r="C155" i="10"/>
  <c r="R154" i="10"/>
  <c r="O154" i="10"/>
  <c r="N154" i="10"/>
  <c r="M154" i="10"/>
  <c r="H154" i="10"/>
  <c r="E154" i="10"/>
  <c r="D154" i="10"/>
  <c r="C154" i="10"/>
  <c r="R153" i="10"/>
  <c r="O153" i="10"/>
  <c r="N153" i="10"/>
  <c r="M153" i="10"/>
  <c r="H153" i="10"/>
  <c r="E153" i="10"/>
  <c r="D153" i="10"/>
  <c r="C153" i="10"/>
  <c r="R152" i="10"/>
  <c r="O152" i="10"/>
  <c r="N152" i="10"/>
  <c r="M152" i="10"/>
  <c r="H152" i="10"/>
  <c r="E152" i="10"/>
  <c r="D152" i="10"/>
  <c r="C152" i="10"/>
  <c r="R151" i="10"/>
  <c r="O151" i="10"/>
  <c r="N151" i="10"/>
  <c r="M151" i="10"/>
  <c r="H151" i="10"/>
  <c r="E151" i="10"/>
  <c r="D151" i="10"/>
  <c r="C151" i="10"/>
  <c r="R150" i="10"/>
  <c r="O150" i="10"/>
  <c r="N150" i="10"/>
  <c r="M150" i="10"/>
  <c r="H150" i="10"/>
  <c r="E150" i="10"/>
  <c r="D150" i="10"/>
  <c r="C150" i="10"/>
  <c r="R149" i="10"/>
  <c r="Q149" i="10"/>
  <c r="O149" i="10"/>
  <c r="N149" i="10"/>
  <c r="M149" i="10"/>
  <c r="H149" i="10"/>
  <c r="E149" i="10"/>
  <c r="D149" i="10"/>
  <c r="C149" i="10"/>
  <c r="R148" i="10"/>
  <c r="O148" i="10"/>
  <c r="N148" i="10"/>
  <c r="M148" i="10"/>
  <c r="H148" i="10"/>
  <c r="E148" i="10"/>
  <c r="D148" i="10"/>
  <c r="C148" i="10"/>
  <c r="R147" i="10"/>
  <c r="O147" i="10"/>
  <c r="N147" i="10"/>
  <c r="M147" i="10"/>
  <c r="H147" i="10"/>
  <c r="E147" i="10"/>
  <c r="D147" i="10"/>
  <c r="C147" i="10"/>
  <c r="R146" i="10"/>
  <c r="O146" i="10"/>
  <c r="N146" i="10"/>
  <c r="M146" i="10"/>
  <c r="H146" i="10"/>
  <c r="E146" i="10"/>
  <c r="D146" i="10"/>
  <c r="C146" i="10"/>
  <c r="R145" i="10"/>
  <c r="Q145" i="10"/>
  <c r="O145" i="10"/>
  <c r="N145" i="10"/>
  <c r="M145" i="10"/>
  <c r="H145" i="10"/>
  <c r="E145" i="10"/>
  <c r="D145" i="10"/>
  <c r="C145" i="10"/>
  <c r="R144" i="10"/>
  <c r="O144" i="10"/>
  <c r="N144" i="10"/>
  <c r="M144" i="10"/>
  <c r="H144" i="10"/>
  <c r="E144" i="10"/>
  <c r="D144" i="10"/>
  <c r="C144" i="10"/>
  <c r="R143" i="10"/>
  <c r="O143" i="10"/>
  <c r="N143" i="10"/>
  <c r="M143" i="10"/>
  <c r="H143" i="10"/>
  <c r="E143" i="10"/>
  <c r="D143" i="10"/>
  <c r="C143" i="10"/>
  <c r="R142" i="10"/>
  <c r="O142" i="10"/>
  <c r="N142" i="10"/>
  <c r="M142" i="10"/>
  <c r="H142" i="10"/>
  <c r="E142" i="10"/>
  <c r="D142" i="10"/>
  <c r="C142" i="10"/>
  <c r="R140" i="10"/>
  <c r="O140" i="10"/>
  <c r="N140" i="10"/>
  <c r="M140" i="10"/>
  <c r="H140" i="10"/>
  <c r="E140" i="10"/>
  <c r="D140" i="10"/>
  <c r="C140" i="10"/>
  <c r="R139" i="10"/>
  <c r="O139" i="10"/>
  <c r="N139" i="10"/>
  <c r="M139" i="10"/>
  <c r="H139" i="10"/>
  <c r="E139" i="10"/>
  <c r="D139" i="10"/>
  <c r="C139" i="10"/>
  <c r="R138" i="10"/>
  <c r="O138" i="10"/>
  <c r="N138" i="10"/>
  <c r="M138" i="10"/>
  <c r="H138" i="10"/>
  <c r="E138" i="10"/>
  <c r="D138" i="10"/>
  <c r="C138" i="10"/>
  <c r="R137" i="10"/>
  <c r="O137" i="10"/>
  <c r="N137" i="10"/>
  <c r="M137" i="10"/>
  <c r="H137" i="10"/>
  <c r="E137" i="10"/>
  <c r="D137" i="10"/>
  <c r="C137" i="10"/>
  <c r="R136" i="10"/>
  <c r="O136" i="10"/>
  <c r="N136" i="10"/>
  <c r="M136" i="10"/>
  <c r="H136" i="10"/>
  <c r="E136" i="10"/>
  <c r="D136" i="10"/>
  <c r="C136" i="10"/>
  <c r="R135" i="10"/>
  <c r="O135" i="10"/>
  <c r="N135" i="10"/>
  <c r="M135" i="10"/>
  <c r="H135" i="10"/>
  <c r="E135" i="10"/>
  <c r="D135" i="10"/>
  <c r="C135" i="10"/>
  <c r="R134" i="10"/>
  <c r="O134" i="10"/>
  <c r="N134" i="10"/>
  <c r="M134" i="10"/>
  <c r="H134" i="10"/>
  <c r="E134" i="10"/>
  <c r="D134" i="10"/>
  <c r="C134" i="10"/>
  <c r="R133" i="10"/>
  <c r="O133" i="10"/>
  <c r="N133" i="10"/>
  <c r="M133" i="10"/>
  <c r="H133" i="10"/>
  <c r="E133" i="10"/>
  <c r="D133" i="10"/>
  <c r="C133" i="10"/>
  <c r="R132" i="10"/>
  <c r="O132" i="10"/>
  <c r="N132" i="10"/>
  <c r="M132" i="10"/>
  <c r="H132" i="10"/>
  <c r="E132" i="10"/>
  <c r="D132" i="10"/>
  <c r="C132" i="10"/>
  <c r="R131" i="10"/>
  <c r="O131" i="10"/>
  <c r="N131" i="10"/>
  <c r="M131" i="10"/>
  <c r="H131" i="10"/>
  <c r="E131" i="10"/>
  <c r="D131" i="10"/>
  <c r="C131" i="10"/>
  <c r="R130" i="10"/>
  <c r="O130" i="10"/>
  <c r="N130" i="10"/>
  <c r="M130" i="10"/>
  <c r="H130" i="10"/>
  <c r="E130" i="10"/>
  <c r="D130" i="10"/>
  <c r="C130" i="10"/>
  <c r="R129" i="10"/>
  <c r="O129" i="10"/>
  <c r="N129" i="10"/>
  <c r="M129" i="10"/>
  <c r="H129" i="10"/>
  <c r="E129" i="10"/>
  <c r="D129" i="10"/>
  <c r="C129" i="10"/>
  <c r="R128" i="10"/>
  <c r="O128" i="10"/>
  <c r="N128" i="10"/>
  <c r="M128" i="10"/>
  <c r="H128" i="10"/>
  <c r="E128" i="10"/>
  <c r="D128" i="10"/>
  <c r="C128" i="10"/>
  <c r="R127" i="10"/>
  <c r="O127" i="10"/>
  <c r="N127" i="10"/>
  <c r="M127" i="10"/>
  <c r="H127" i="10"/>
  <c r="E127" i="10"/>
  <c r="D127" i="10"/>
  <c r="C127" i="10"/>
  <c r="R126" i="10"/>
  <c r="O126" i="10"/>
  <c r="N126" i="10"/>
  <c r="M126" i="10"/>
  <c r="H126" i="10"/>
  <c r="E126" i="10"/>
  <c r="D126" i="10"/>
  <c r="C126" i="10"/>
  <c r="R125" i="10"/>
  <c r="O125" i="10"/>
  <c r="N125" i="10"/>
  <c r="M125" i="10"/>
  <c r="H125" i="10"/>
  <c r="E125" i="10"/>
  <c r="D125" i="10"/>
  <c r="C125" i="10"/>
  <c r="R124" i="10"/>
  <c r="O124" i="10"/>
  <c r="N124" i="10"/>
  <c r="M124" i="10"/>
  <c r="H124" i="10"/>
  <c r="E124" i="10"/>
  <c r="D124" i="10"/>
  <c r="C124" i="10"/>
  <c r="R123" i="10"/>
  <c r="O123" i="10"/>
  <c r="N123" i="10"/>
  <c r="M123" i="10"/>
  <c r="H123" i="10"/>
  <c r="E123" i="10"/>
  <c r="D123" i="10"/>
  <c r="C123" i="10"/>
  <c r="R122" i="10"/>
  <c r="O122" i="10"/>
  <c r="N122" i="10"/>
  <c r="M122" i="10"/>
  <c r="H122" i="10"/>
  <c r="E122" i="10"/>
  <c r="D122" i="10"/>
  <c r="C122" i="10"/>
  <c r="R121" i="10"/>
  <c r="O121" i="10"/>
  <c r="N121" i="10"/>
  <c r="M121" i="10"/>
  <c r="H121" i="10"/>
  <c r="E121" i="10"/>
  <c r="D121" i="10"/>
  <c r="C121" i="10"/>
  <c r="R120" i="10"/>
  <c r="O120" i="10"/>
  <c r="N120" i="10"/>
  <c r="M120" i="10"/>
  <c r="H120" i="10"/>
  <c r="E120" i="10"/>
  <c r="D120" i="10"/>
  <c r="C120" i="10"/>
  <c r="R119" i="10"/>
  <c r="O119" i="10"/>
  <c r="N119" i="10"/>
  <c r="M119" i="10"/>
  <c r="H119" i="10"/>
  <c r="E119" i="10"/>
  <c r="D119" i="10"/>
  <c r="C119" i="10"/>
  <c r="R118" i="10"/>
  <c r="O118" i="10"/>
  <c r="N118" i="10"/>
  <c r="M118" i="10"/>
  <c r="H118" i="10"/>
  <c r="E118" i="10"/>
  <c r="D118" i="10"/>
  <c r="C118" i="10"/>
  <c r="R117" i="10"/>
  <c r="O117" i="10"/>
  <c r="N117" i="10"/>
  <c r="M117" i="10"/>
  <c r="H117" i="10"/>
  <c r="E117" i="10"/>
  <c r="D117" i="10"/>
  <c r="C117" i="10"/>
  <c r="R116" i="10"/>
  <c r="O116" i="10"/>
  <c r="N116" i="10"/>
  <c r="M116" i="10"/>
  <c r="H116" i="10"/>
  <c r="E116" i="10"/>
  <c r="D116" i="10"/>
  <c r="C116" i="10"/>
  <c r="R115" i="10"/>
  <c r="O115" i="10"/>
  <c r="N115" i="10"/>
  <c r="M115" i="10"/>
  <c r="H115" i="10"/>
  <c r="E115" i="10"/>
  <c r="D115" i="10"/>
  <c r="C115" i="10"/>
  <c r="R114" i="10"/>
  <c r="O114" i="10"/>
  <c r="N114" i="10"/>
  <c r="M114" i="10"/>
  <c r="H114" i="10"/>
  <c r="E114" i="10"/>
  <c r="D114" i="10"/>
  <c r="C114" i="10"/>
  <c r="R113" i="10"/>
  <c r="O113" i="10"/>
  <c r="N113" i="10"/>
  <c r="M113" i="10"/>
  <c r="H113" i="10"/>
  <c r="E113" i="10"/>
  <c r="D113" i="10"/>
  <c r="C113" i="10"/>
  <c r="R112" i="10"/>
  <c r="O112" i="10"/>
  <c r="N112" i="10"/>
  <c r="M112" i="10"/>
  <c r="H112" i="10"/>
  <c r="E112" i="10"/>
  <c r="D112" i="10"/>
  <c r="C112" i="10"/>
  <c r="R111" i="10"/>
  <c r="O111" i="10"/>
  <c r="N111" i="10"/>
  <c r="M111" i="10"/>
  <c r="H111" i="10"/>
  <c r="E111" i="10"/>
  <c r="D111" i="10"/>
  <c r="C111" i="10"/>
  <c r="R110" i="10"/>
  <c r="O110" i="10"/>
  <c r="N110" i="10"/>
  <c r="M110" i="10"/>
  <c r="H110" i="10"/>
  <c r="E110" i="10"/>
  <c r="D110" i="10"/>
  <c r="C110" i="10"/>
  <c r="R109" i="10"/>
  <c r="O109" i="10"/>
  <c r="N109" i="10"/>
  <c r="M109" i="10"/>
  <c r="H109" i="10"/>
  <c r="E109" i="10"/>
  <c r="D109" i="10"/>
  <c r="C109" i="10"/>
  <c r="R108" i="10"/>
  <c r="O108" i="10"/>
  <c r="N108" i="10"/>
  <c r="M108" i="10"/>
  <c r="H108" i="10"/>
  <c r="E108" i="10"/>
  <c r="D108" i="10"/>
  <c r="C108" i="10"/>
  <c r="R107" i="10"/>
  <c r="O107" i="10"/>
  <c r="N107" i="10"/>
  <c r="M107" i="10"/>
  <c r="H107" i="10"/>
  <c r="E107" i="10"/>
  <c r="D107" i="10"/>
  <c r="C107" i="10"/>
  <c r="K104" i="10"/>
  <c r="BI101" i="10"/>
  <c r="Q355" i="10" s="1"/>
  <c r="BB101" i="10"/>
  <c r="Q353" i="10" s="1"/>
  <c r="AU101" i="10"/>
  <c r="Q347" i="10" s="1"/>
  <c r="AN101" i="10"/>
  <c r="Q345" i="10" s="1"/>
  <c r="Q339" i="10"/>
  <c r="Q337" i="10"/>
  <c r="BI100" i="10"/>
  <c r="Q320" i="10" s="1"/>
  <c r="BB100" i="10"/>
  <c r="Q318" i="10" s="1"/>
  <c r="AU100" i="10"/>
  <c r="Q312" i="10" s="1"/>
  <c r="AN100" i="10"/>
  <c r="Q310" i="10" s="1"/>
  <c r="Q304" i="10"/>
  <c r="Q302" i="10"/>
  <c r="G369" i="10"/>
  <c r="G367" i="10"/>
  <c r="BI99" i="10"/>
  <c r="G390" i="10" s="1"/>
  <c r="BB99" i="10"/>
  <c r="G388" i="10" s="1"/>
  <c r="AU99" i="10"/>
  <c r="G382" i="10" s="1"/>
  <c r="AN99" i="10"/>
  <c r="G380" i="10" s="1"/>
  <c r="G374" i="10"/>
  <c r="G372" i="10"/>
  <c r="BI98" i="10"/>
  <c r="G355" i="10" s="1"/>
  <c r="BB98" i="10"/>
  <c r="G353" i="10" s="1"/>
  <c r="AU98" i="10"/>
  <c r="G347" i="10" s="1"/>
  <c r="AN98" i="10"/>
  <c r="G345" i="10" s="1"/>
  <c r="G339" i="10"/>
  <c r="G337" i="10"/>
  <c r="G334" i="10"/>
  <c r="G332" i="10"/>
  <c r="G320" i="10"/>
  <c r="G318" i="10"/>
  <c r="G312" i="10"/>
  <c r="G310" i="10"/>
  <c r="G304" i="10"/>
  <c r="G302" i="10"/>
  <c r="G299" i="10"/>
  <c r="G297" i="10"/>
  <c r="AE96" i="10"/>
  <c r="AD96" i="10"/>
  <c r="X96" i="10"/>
  <c r="W96" i="10"/>
  <c r="J96" i="10"/>
  <c r="I96" i="10"/>
  <c r="C96" i="10"/>
  <c r="B96" i="10"/>
  <c r="BE94" i="10"/>
  <c r="AX94" i="10"/>
  <c r="AQ94" i="10"/>
  <c r="AJ94" i="10"/>
  <c r="AC94" i="10"/>
  <c r="V94" i="10"/>
  <c r="H94" i="10"/>
  <c r="A94" i="10"/>
  <c r="BI91" i="10"/>
  <c r="Q354" i="10" s="1"/>
  <c r="BB91" i="10"/>
  <c r="Q352" i="10" s="1"/>
  <c r="AU91" i="10"/>
  <c r="Q346" i="10" s="1"/>
  <c r="AN91" i="10"/>
  <c r="Q344" i="10" s="1"/>
  <c r="Q338" i="10"/>
  <c r="Q336" i="10"/>
  <c r="Q335" i="10"/>
  <c r="BI90" i="10"/>
  <c r="Q319" i="10" s="1"/>
  <c r="BB90" i="10"/>
  <c r="Q317" i="10" s="1"/>
  <c r="AU90" i="10"/>
  <c r="Q311" i="10" s="1"/>
  <c r="AN90" i="10"/>
  <c r="Q309" i="10" s="1"/>
  <c r="Q303" i="10"/>
  <c r="Q301" i="10"/>
  <c r="Q300" i="10"/>
  <c r="G368" i="10"/>
  <c r="G366" i="10"/>
  <c r="BI89" i="10"/>
  <c r="G389" i="10" s="1"/>
  <c r="BB89" i="10"/>
  <c r="G387" i="10" s="1"/>
  <c r="AU89" i="10"/>
  <c r="G381" i="10" s="1"/>
  <c r="AN89" i="10"/>
  <c r="G379" i="10" s="1"/>
  <c r="G373" i="10"/>
  <c r="G371" i="10"/>
  <c r="G370" i="10"/>
  <c r="BI88" i="10"/>
  <c r="G354" i="10" s="1"/>
  <c r="BB88" i="10"/>
  <c r="G352" i="10" s="1"/>
  <c r="AU88" i="10"/>
  <c r="G346" i="10" s="1"/>
  <c r="AN88" i="10"/>
  <c r="G344" i="10" s="1"/>
  <c r="G338" i="10"/>
  <c r="G336" i="10"/>
  <c r="G335" i="10"/>
  <c r="G333" i="10"/>
  <c r="G331" i="10"/>
  <c r="G319" i="10"/>
  <c r="G317" i="10"/>
  <c r="G311" i="10"/>
  <c r="G309" i="10"/>
  <c r="G303" i="10"/>
  <c r="G301" i="10"/>
  <c r="G300" i="10"/>
  <c r="G298" i="10"/>
  <c r="G296" i="10"/>
  <c r="AE86" i="10"/>
  <c r="AD86" i="10"/>
  <c r="X86" i="10"/>
  <c r="W86" i="10"/>
  <c r="J86" i="10"/>
  <c r="I86" i="10"/>
  <c r="C86" i="10"/>
  <c r="B86" i="10"/>
  <c r="BE84" i="10"/>
  <c r="AX84" i="10"/>
  <c r="AQ84" i="10"/>
  <c r="AJ84" i="10"/>
  <c r="AC84" i="10"/>
  <c r="V84" i="10"/>
  <c r="O84" i="10"/>
  <c r="H84" i="10"/>
  <c r="A84" i="10"/>
  <c r="Q245" i="10"/>
  <c r="Q243" i="10"/>
  <c r="Q237" i="10"/>
  <c r="Q235" i="10"/>
  <c r="Q229" i="10"/>
  <c r="Q227" i="10"/>
  <c r="Q224" i="10"/>
  <c r="Q222" i="10"/>
  <c r="Q210" i="10"/>
  <c r="Q208" i="10"/>
  <c r="Q202" i="10"/>
  <c r="Q200" i="10"/>
  <c r="Q194" i="10"/>
  <c r="Q192" i="10"/>
  <c r="Q189" i="10"/>
  <c r="Q187" i="10"/>
  <c r="Q175" i="10"/>
  <c r="Q173" i="10"/>
  <c r="Q167" i="10"/>
  <c r="Q165" i="10"/>
  <c r="Q159" i="10"/>
  <c r="Q157" i="10"/>
  <c r="Q154" i="10"/>
  <c r="Q152" i="10"/>
  <c r="Q140" i="10"/>
  <c r="Q138" i="10"/>
  <c r="Q132" i="10"/>
  <c r="Q130" i="10"/>
  <c r="Q124" i="10"/>
  <c r="Q122" i="10"/>
  <c r="Q119" i="10"/>
  <c r="Q117" i="10"/>
  <c r="G280" i="10"/>
  <c r="G278" i="10"/>
  <c r="G272" i="10"/>
  <c r="G270" i="10"/>
  <c r="G264" i="10"/>
  <c r="G262" i="10"/>
  <c r="G259" i="10"/>
  <c r="G257" i="10"/>
  <c r="G245" i="10"/>
  <c r="G243" i="10"/>
  <c r="G237" i="10"/>
  <c r="G235" i="10"/>
  <c r="G229" i="10"/>
  <c r="G227" i="10"/>
  <c r="G224" i="10"/>
  <c r="G222" i="10"/>
  <c r="G210" i="10"/>
  <c r="G208" i="10"/>
  <c r="G202" i="10"/>
  <c r="G200" i="10"/>
  <c r="G192" i="10"/>
  <c r="G189" i="10"/>
  <c r="G187" i="10"/>
  <c r="G175" i="10"/>
  <c r="G173" i="10"/>
  <c r="G167" i="10"/>
  <c r="G165" i="10"/>
  <c r="G159" i="10"/>
  <c r="G157" i="10"/>
  <c r="G154" i="10"/>
  <c r="G152" i="10"/>
  <c r="G140" i="10"/>
  <c r="G138" i="10"/>
  <c r="G132" i="10"/>
  <c r="G130" i="10"/>
  <c r="G124" i="10"/>
  <c r="G122" i="10"/>
  <c r="G119" i="10"/>
  <c r="G117" i="10"/>
  <c r="BG70" i="10"/>
  <c r="J457" i="10" s="1"/>
  <c r="BF70" i="10"/>
  <c r="I457" i="10" s="1"/>
  <c r="AZ70" i="10"/>
  <c r="J455" i="10" s="1"/>
  <c r="AY70" i="10"/>
  <c r="I455" i="10" s="1"/>
  <c r="AS70" i="10"/>
  <c r="J449" i="10" s="1"/>
  <c r="AR70" i="10"/>
  <c r="I449" i="10" s="1"/>
  <c r="AL70" i="10"/>
  <c r="J447" i="10" s="1"/>
  <c r="AK70" i="10"/>
  <c r="I447" i="10" s="1"/>
  <c r="J70" i="10"/>
  <c r="I70" i="10"/>
  <c r="C70" i="10"/>
  <c r="B70" i="10"/>
  <c r="Q244" i="10"/>
  <c r="Q242" i="10"/>
  <c r="Q236" i="10"/>
  <c r="Q234" i="10"/>
  <c r="Q228" i="10"/>
  <c r="Q226" i="10"/>
  <c r="Q225" i="10"/>
  <c r="Q223" i="10"/>
  <c r="Q221" i="10"/>
  <c r="Q209" i="10"/>
  <c r="Q207" i="10"/>
  <c r="Q201" i="10"/>
  <c r="Q199" i="10"/>
  <c r="Q193" i="10"/>
  <c r="Q191" i="10"/>
  <c r="Q190" i="10"/>
  <c r="Q188" i="10"/>
  <c r="Q186" i="10"/>
  <c r="Q174" i="10"/>
  <c r="Q172" i="10"/>
  <c r="Q166" i="10"/>
  <c r="Q164" i="10"/>
  <c r="Q158" i="10"/>
  <c r="Q155" i="10"/>
  <c r="Q153" i="10"/>
  <c r="Q151" i="10"/>
  <c r="Q139" i="10"/>
  <c r="Q137" i="10"/>
  <c r="Q131" i="10"/>
  <c r="Q129" i="10"/>
  <c r="Q123" i="10"/>
  <c r="Q121" i="10"/>
  <c r="Q120" i="10"/>
  <c r="Q118" i="10"/>
  <c r="Q116" i="10"/>
  <c r="G279" i="10"/>
  <c r="G277" i="10"/>
  <c r="G271" i="10"/>
  <c r="G269" i="10"/>
  <c r="G263" i="10"/>
  <c r="G261" i="10"/>
  <c r="G260" i="10"/>
  <c r="G258" i="10"/>
  <c r="G256" i="10"/>
  <c r="G244" i="10"/>
  <c r="G242" i="10"/>
  <c r="G236" i="10"/>
  <c r="G234" i="10"/>
  <c r="G228" i="10"/>
  <c r="G226" i="10"/>
  <c r="G225" i="10"/>
  <c r="G223" i="10"/>
  <c r="G221" i="10"/>
  <c r="G209" i="10"/>
  <c r="G207" i="10"/>
  <c r="G201" i="10"/>
  <c r="G199" i="10"/>
  <c r="G193" i="10"/>
  <c r="G191" i="10"/>
  <c r="G190" i="10"/>
  <c r="G188" i="10"/>
  <c r="G186" i="10"/>
  <c r="G174" i="10"/>
  <c r="G172" i="10"/>
  <c r="G166" i="10"/>
  <c r="G164" i="10"/>
  <c r="G158" i="10"/>
  <c r="G156" i="10"/>
  <c r="G155" i="10"/>
  <c r="G153" i="10"/>
  <c r="G151" i="10"/>
  <c r="G139" i="10"/>
  <c r="G137" i="10"/>
  <c r="G131" i="10"/>
  <c r="G129" i="10"/>
  <c r="G123" i="10"/>
  <c r="G121" i="10"/>
  <c r="G120" i="10"/>
  <c r="G118" i="10"/>
  <c r="G116" i="10"/>
  <c r="BG56" i="10"/>
  <c r="J456" i="10" s="1"/>
  <c r="BF56" i="10"/>
  <c r="I456" i="10" s="1"/>
  <c r="AS56" i="10"/>
  <c r="J448" i="10" s="1"/>
  <c r="AR56" i="10"/>
  <c r="I448" i="10" s="1"/>
  <c r="J56" i="10"/>
  <c r="I56" i="10"/>
  <c r="Q351" i="10"/>
  <c r="Q349" i="10"/>
  <c r="Q343" i="10"/>
  <c r="Q341" i="10"/>
  <c r="Q330" i="10"/>
  <c r="Q328" i="10"/>
  <c r="Q325" i="10"/>
  <c r="Q323" i="10"/>
  <c r="Q316" i="10"/>
  <c r="Q314" i="10"/>
  <c r="Q308" i="10"/>
  <c r="Q306" i="10"/>
  <c r="Q295" i="10"/>
  <c r="Q293" i="10"/>
  <c r="Q290" i="10"/>
  <c r="Q288" i="10"/>
  <c r="G386" i="10"/>
  <c r="G384" i="10"/>
  <c r="G378" i="10"/>
  <c r="G376" i="10"/>
  <c r="G365" i="10"/>
  <c r="G363" i="10"/>
  <c r="G360" i="10"/>
  <c r="G358" i="10"/>
  <c r="G351" i="10"/>
  <c r="G349" i="10"/>
  <c r="G343" i="10"/>
  <c r="G341" i="10"/>
  <c r="G330" i="10"/>
  <c r="G328" i="10"/>
  <c r="G325" i="10"/>
  <c r="G323" i="10"/>
  <c r="G316" i="10"/>
  <c r="G314" i="10"/>
  <c r="G308" i="10"/>
  <c r="G306" i="10"/>
  <c r="G295" i="10"/>
  <c r="G293" i="10"/>
  <c r="G290" i="10"/>
  <c r="G288" i="10"/>
  <c r="BE43" i="10"/>
  <c r="AX43" i="10"/>
  <c r="AQ43" i="10"/>
  <c r="AJ43" i="10"/>
  <c r="Q350" i="10"/>
  <c r="Q348" i="10"/>
  <c r="Q342" i="10"/>
  <c r="Q340" i="10"/>
  <c r="Q329" i="10"/>
  <c r="Q327" i="10"/>
  <c r="Q326" i="10"/>
  <c r="Q324" i="10"/>
  <c r="Q322" i="10"/>
  <c r="Q315" i="10"/>
  <c r="Q313" i="10"/>
  <c r="Q307" i="10"/>
  <c r="Q305" i="10"/>
  <c r="Q294" i="10"/>
  <c r="Q292" i="10"/>
  <c r="Q291" i="10"/>
  <c r="Q289" i="10"/>
  <c r="Q287" i="10"/>
  <c r="G385" i="10"/>
  <c r="G383" i="10"/>
  <c r="G377" i="10"/>
  <c r="G375" i="10"/>
  <c r="G364" i="10"/>
  <c r="G362" i="10"/>
  <c r="G361" i="10"/>
  <c r="G359" i="10"/>
  <c r="G357" i="10"/>
  <c r="G350" i="10"/>
  <c r="G348" i="10"/>
  <c r="G342" i="10"/>
  <c r="G340" i="10"/>
  <c r="G329" i="10"/>
  <c r="G327" i="10"/>
  <c r="G326" i="10"/>
  <c r="G324" i="10"/>
  <c r="G322" i="10"/>
  <c r="G315" i="10"/>
  <c r="G313" i="10"/>
  <c r="G307" i="10"/>
  <c r="G305" i="10"/>
  <c r="G294" i="10"/>
  <c r="G292" i="10"/>
  <c r="G291" i="10"/>
  <c r="G289" i="10"/>
  <c r="G287" i="10"/>
  <c r="Q35" i="10"/>
  <c r="P35" i="10"/>
  <c r="BE33" i="10"/>
  <c r="AX33" i="10"/>
  <c r="AQ33" i="10"/>
  <c r="AJ33" i="10"/>
  <c r="Q241" i="10"/>
  <c r="Q239" i="10"/>
  <c r="Q233" i="10"/>
  <c r="Q231" i="10"/>
  <c r="Q220" i="10"/>
  <c r="Q218" i="10"/>
  <c r="Q215" i="10"/>
  <c r="Q213" i="10"/>
  <c r="Q206" i="10"/>
  <c r="Q204" i="10"/>
  <c r="Q198" i="10"/>
  <c r="Q196" i="10"/>
  <c r="Q185" i="10"/>
  <c r="Q183" i="10"/>
  <c r="Q180" i="10"/>
  <c r="Q178" i="10"/>
  <c r="Q171" i="10"/>
  <c r="Q169" i="10"/>
  <c r="Q163" i="10"/>
  <c r="Q161" i="10"/>
  <c r="Q150" i="10"/>
  <c r="Q148" i="10"/>
  <c r="Q143" i="10"/>
  <c r="Q136" i="10"/>
  <c r="Q134" i="10"/>
  <c r="Q128" i="10"/>
  <c r="Q126" i="10"/>
  <c r="Q115" i="10"/>
  <c r="Q113" i="10"/>
  <c r="Q110" i="10"/>
  <c r="Q108" i="10"/>
  <c r="G276" i="10"/>
  <c r="G274" i="10"/>
  <c r="G268" i="10"/>
  <c r="G266" i="10"/>
  <c r="G255" i="10"/>
  <c r="G253" i="10"/>
  <c r="G250" i="10"/>
  <c r="G248" i="10"/>
  <c r="G241" i="10"/>
  <c r="G239" i="10"/>
  <c r="G233" i="10"/>
  <c r="G231" i="10"/>
  <c r="G220" i="10"/>
  <c r="G218" i="10"/>
  <c r="G215" i="10"/>
  <c r="G213" i="10"/>
  <c r="G206" i="10"/>
  <c r="G204" i="10"/>
  <c r="G198" i="10"/>
  <c r="G196" i="10"/>
  <c r="G185" i="10"/>
  <c r="G183" i="10"/>
  <c r="G180" i="10"/>
  <c r="G178" i="10"/>
  <c r="G171" i="10"/>
  <c r="G169" i="10"/>
  <c r="G163" i="10"/>
  <c r="G161" i="10"/>
  <c r="G150" i="10"/>
  <c r="G148" i="10"/>
  <c r="G145" i="10"/>
  <c r="G143" i="10"/>
  <c r="G136" i="10"/>
  <c r="G134" i="10"/>
  <c r="G128" i="10"/>
  <c r="G126" i="10"/>
  <c r="G115" i="10"/>
  <c r="G113" i="10"/>
  <c r="G110" i="10"/>
  <c r="G108" i="10"/>
  <c r="BG19" i="10"/>
  <c r="J453" i="10" s="1"/>
  <c r="BF19" i="10"/>
  <c r="I453" i="10" s="1"/>
  <c r="AZ19" i="10"/>
  <c r="J451" i="10" s="1"/>
  <c r="AY19" i="10"/>
  <c r="I451" i="10" s="1"/>
  <c r="AS19" i="10"/>
  <c r="J445" i="10" s="1"/>
  <c r="AR19" i="10"/>
  <c r="I445" i="10" s="1"/>
  <c r="AL19" i="10"/>
  <c r="J443" i="10" s="1"/>
  <c r="AK19" i="10"/>
  <c r="I443" i="10" s="1"/>
  <c r="Q240" i="10"/>
  <c r="Q238" i="10"/>
  <c r="Q232" i="10"/>
  <c r="Q230" i="10"/>
  <c r="Q219" i="10"/>
  <c r="Q217" i="10"/>
  <c r="Q216" i="10"/>
  <c r="Q214" i="10"/>
  <c r="Q212" i="10"/>
  <c r="Q205" i="10"/>
  <c r="Q203" i="10"/>
  <c r="Q197" i="10"/>
  <c r="Q195" i="10"/>
  <c r="Q184" i="10"/>
  <c r="Q182" i="10"/>
  <c r="Q181" i="10"/>
  <c r="Q179" i="10"/>
  <c r="Q177" i="10"/>
  <c r="Q170" i="10"/>
  <c r="Q168" i="10"/>
  <c r="Q162" i="10"/>
  <c r="Q160" i="10"/>
  <c r="Q147" i="10"/>
  <c r="Q146" i="10"/>
  <c r="Q144" i="10"/>
  <c r="Q142" i="10"/>
  <c r="Q135" i="10"/>
  <c r="Q133" i="10"/>
  <c r="Q127" i="10"/>
  <c r="Q125" i="10"/>
  <c r="Q114" i="10"/>
  <c r="Q112" i="10"/>
  <c r="Q111" i="10"/>
  <c r="Q109" i="10"/>
  <c r="Q107" i="10"/>
  <c r="G275" i="10"/>
  <c r="G273" i="10"/>
  <c r="G267" i="10"/>
  <c r="G265" i="10"/>
  <c r="G254" i="10"/>
  <c r="G252" i="10"/>
  <c r="G251" i="10"/>
  <c r="G249" i="10"/>
  <c r="G247" i="10"/>
  <c r="G240" i="10"/>
  <c r="G238" i="10"/>
  <c r="G232" i="10"/>
  <c r="G230" i="10"/>
  <c r="G219" i="10"/>
  <c r="G217" i="10"/>
  <c r="G216" i="10"/>
  <c r="G214" i="10"/>
  <c r="G212" i="10"/>
  <c r="G205" i="10"/>
  <c r="G203" i="10"/>
  <c r="G197" i="10"/>
  <c r="G195" i="10"/>
  <c r="G184" i="10"/>
  <c r="G182" i="10"/>
  <c r="G181" i="10"/>
  <c r="G179" i="10"/>
  <c r="G177" i="10"/>
  <c r="G170" i="10"/>
  <c r="G168" i="10"/>
  <c r="G162" i="10"/>
  <c r="G160" i="10"/>
  <c r="G149" i="10"/>
  <c r="G147" i="10"/>
  <c r="G146" i="10"/>
  <c r="G144" i="10"/>
  <c r="G142" i="10"/>
  <c r="G135" i="10"/>
  <c r="G127" i="10"/>
  <c r="G114" i="10"/>
  <c r="G112" i="10"/>
  <c r="G111" i="10"/>
  <c r="G109" i="10"/>
  <c r="G107" i="10"/>
  <c r="BG5" i="10"/>
  <c r="J444" i="10" s="1"/>
  <c r="BF5" i="10"/>
  <c r="AS5" i="10"/>
  <c r="AR5" i="10"/>
  <c r="V377" i="16"/>
  <c r="T378" i="16"/>
  <c r="T377" i="16"/>
  <c r="A389" i="16"/>
  <c r="A410" i="16" s="1"/>
  <c r="J409" i="16"/>
  <c r="I409" i="16"/>
  <c r="J408" i="16"/>
  <c r="J407" i="16"/>
  <c r="I407" i="16"/>
  <c r="J406" i="16"/>
  <c r="I406" i="16"/>
  <c r="J405" i="16"/>
  <c r="I405" i="16"/>
  <c r="J404" i="16"/>
  <c r="I404" i="16"/>
  <c r="J403" i="16"/>
  <c r="I403" i="16"/>
  <c r="J402" i="16"/>
  <c r="I402" i="16"/>
  <c r="J401" i="16"/>
  <c r="I401" i="16"/>
  <c r="J400" i="16"/>
  <c r="I400" i="16"/>
  <c r="J399" i="16"/>
  <c r="I399" i="16"/>
  <c r="J398" i="16"/>
  <c r="I398" i="16"/>
  <c r="J397" i="16"/>
  <c r="I397" i="16"/>
  <c r="J396" i="16"/>
  <c r="I396" i="16"/>
  <c r="J395" i="16"/>
  <c r="I395" i="16"/>
  <c r="J394" i="16"/>
  <c r="I394" i="16"/>
  <c r="J393" i="16"/>
  <c r="I393" i="16"/>
  <c r="J392" i="16"/>
  <c r="I392" i="16"/>
  <c r="J391" i="16"/>
  <c r="I391" i="16"/>
  <c r="J390" i="16"/>
  <c r="I390" i="16"/>
  <c r="V379" i="16"/>
  <c r="T379" i="16"/>
  <c r="U371" i="16"/>
  <c r="T371" i="16"/>
  <c r="S371" i="16"/>
  <c r="M371" i="16"/>
  <c r="L371" i="16"/>
  <c r="K371" i="16"/>
  <c r="E371" i="16"/>
  <c r="D371" i="16"/>
  <c r="C371" i="16"/>
  <c r="U370" i="16"/>
  <c r="T370" i="16"/>
  <c r="S370" i="16"/>
  <c r="M370" i="16"/>
  <c r="L370" i="16"/>
  <c r="K370" i="16"/>
  <c r="E370" i="16"/>
  <c r="D370" i="16"/>
  <c r="C370" i="16"/>
  <c r="U369" i="16"/>
  <c r="T369" i="16"/>
  <c r="S369" i="16"/>
  <c r="M369" i="16"/>
  <c r="L369" i="16"/>
  <c r="K369" i="16"/>
  <c r="E369" i="16"/>
  <c r="D369" i="16"/>
  <c r="C369" i="16"/>
  <c r="U368" i="16"/>
  <c r="T368" i="16"/>
  <c r="S368" i="16"/>
  <c r="M368" i="16"/>
  <c r="L368" i="16"/>
  <c r="K368" i="16"/>
  <c r="E368" i="16"/>
  <c r="D368" i="16"/>
  <c r="C368" i="16"/>
  <c r="U367" i="16"/>
  <c r="T367" i="16"/>
  <c r="S367" i="16"/>
  <c r="M367" i="16"/>
  <c r="L367" i="16"/>
  <c r="K367" i="16"/>
  <c r="E367" i="16"/>
  <c r="D367" i="16"/>
  <c r="C367" i="16"/>
  <c r="U366" i="16"/>
  <c r="T366" i="16"/>
  <c r="S366" i="16"/>
  <c r="M366" i="16"/>
  <c r="L366" i="16"/>
  <c r="K366" i="16"/>
  <c r="E366" i="16"/>
  <c r="D366" i="16"/>
  <c r="C366" i="16"/>
  <c r="U365" i="16"/>
  <c r="T365" i="16"/>
  <c r="S365" i="16"/>
  <c r="M365" i="16"/>
  <c r="L365" i="16"/>
  <c r="K365" i="16"/>
  <c r="E365" i="16"/>
  <c r="D365" i="16"/>
  <c r="C365" i="16"/>
  <c r="U364" i="16"/>
  <c r="T364" i="16"/>
  <c r="S364" i="16"/>
  <c r="M364" i="16"/>
  <c r="L364" i="16"/>
  <c r="K364" i="16"/>
  <c r="E364" i="16"/>
  <c r="D364" i="16"/>
  <c r="C364" i="16"/>
  <c r="U363" i="16"/>
  <c r="T363" i="16"/>
  <c r="S363" i="16"/>
  <c r="M363" i="16"/>
  <c r="L363" i="16"/>
  <c r="K363" i="16"/>
  <c r="E363" i="16"/>
  <c r="D363" i="16"/>
  <c r="C363" i="16"/>
  <c r="U362" i="16"/>
  <c r="T362" i="16"/>
  <c r="S362" i="16"/>
  <c r="M362" i="16"/>
  <c r="L362" i="16"/>
  <c r="K362" i="16"/>
  <c r="E362" i="16"/>
  <c r="D362" i="16"/>
  <c r="C362" i="16"/>
  <c r="U361" i="16"/>
  <c r="T361" i="16"/>
  <c r="S361" i="16"/>
  <c r="M361" i="16"/>
  <c r="L361" i="16"/>
  <c r="K361" i="16"/>
  <c r="E361" i="16"/>
  <c r="D361" i="16"/>
  <c r="C361" i="16"/>
  <c r="U360" i="16"/>
  <c r="T360" i="16"/>
  <c r="S360" i="16"/>
  <c r="M360" i="16"/>
  <c r="L360" i="16"/>
  <c r="K360" i="16"/>
  <c r="E360" i="16"/>
  <c r="D360" i="16"/>
  <c r="C360" i="16"/>
  <c r="U359" i="16"/>
  <c r="T359" i="16"/>
  <c r="S359" i="16"/>
  <c r="M359" i="16"/>
  <c r="L359" i="16"/>
  <c r="K359" i="16"/>
  <c r="E359" i="16"/>
  <c r="D359" i="16"/>
  <c r="C359" i="16"/>
  <c r="U358" i="16"/>
  <c r="T358" i="16"/>
  <c r="S358" i="16"/>
  <c r="M358" i="16"/>
  <c r="L358" i="16"/>
  <c r="K358" i="16"/>
  <c r="E358" i="16"/>
  <c r="D358" i="16"/>
  <c r="C358" i="16"/>
  <c r="U357" i="16"/>
  <c r="T357" i="16"/>
  <c r="S357" i="16"/>
  <c r="M357" i="16"/>
  <c r="L357" i="16"/>
  <c r="K357" i="16"/>
  <c r="E357" i="16"/>
  <c r="D357" i="16"/>
  <c r="C357" i="16"/>
  <c r="U356" i="16"/>
  <c r="T356" i="16"/>
  <c r="S356" i="16"/>
  <c r="M356" i="16"/>
  <c r="L356" i="16"/>
  <c r="K356" i="16"/>
  <c r="E356" i="16"/>
  <c r="D356" i="16"/>
  <c r="C356" i="16"/>
  <c r="U355" i="16"/>
  <c r="T355" i="16"/>
  <c r="S355" i="16"/>
  <c r="M355" i="16"/>
  <c r="L355" i="16"/>
  <c r="K355" i="16"/>
  <c r="E355" i="16"/>
  <c r="D355" i="16"/>
  <c r="C355" i="16"/>
  <c r="U354" i="16"/>
  <c r="T354" i="16"/>
  <c r="S354" i="16"/>
  <c r="M354" i="16"/>
  <c r="L354" i="16"/>
  <c r="K354" i="16"/>
  <c r="E354" i="16"/>
  <c r="D354" i="16"/>
  <c r="C354" i="16"/>
  <c r="U353" i="16"/>
  <c r="T353" i="16"/>
  <c r="S353" i="16"/>
  <c r="M353" i="16"/>
  <c r="L353" i="16"/>
  <c r="K353" i="16"/>
  <c r="E353" i="16"/>
  <c r="D353" i="16"/>
  <c r="C353" i="16"/>
  <c r="U352" i="16"/>
  <c r="T352" i="16"/>
  <c r="S352" i="16"/>
  <c r="M352" i="16"/>
  <c r="L352" i="16"/>
  <c r="K352" i="16"/>
  <c r="E352" i="16"/>
  <c r="D352" i="16"/>
  <c r="C352" i="16"/>
  <c r="U350" i="16"/>
  <c r="T350" i="16"/>
  <c r="S350" i="16"/>
  <c r="M350" i="16"/>
  <c r="L350" i="16"/>
  <c r="K350" i="16"/>
  <c r="E350" i="16"/>
  <c r="D350" i="16"/>
  <c r="C350" i="16"/>
  <c r="U349" i="16"/>
  <c r="T349" i="16"/>
  <c r="S349" i="16"/>
  <c r="M349" i="16"/>
  <c r="L349" i="16"/>
  <c r="K349" i="16"/>
  <c r="E349" i="16"/>
  <c r="D349" i="16"/>
  <c r="C349" i="16"/>
  <c r="U348" i="16"/>
  <c r="T348" i="16"/>
  <c r="S348" i="16"/>
  <c r="M348" i="16"/>
  <c r="L348" i="16"/>
  <c r="K348" i="16"/>
  <c r="E348" i="16"/>
  <c r="D348" i="16"/>
  <c r="C348" i="16"/>
  <c r="U347" i="16"/>
  <c r="T347" i="16"/>
  <c r="S347" i="16"/>
  <c r="M347" i="16"/>
  <c r="L347" i="16"/>
  <c r="K347" i="16"/>
  <c r="E347" i="16"/>
  <c r="D347" i="16"/>
  <c r="C347" i="16"/>
  <c r="U346" i="16"/>
  <c r="T346" i="16"/>
  <c r="S346" i="16"/>
  <c r="M346" i="16"/>
  <c r="L346" i="16"/>
  <c r="K346" i="16"/>
  <c r="E346" i="16"/>
  <c r="D346" i="16"/>
  <c r="C346" i="16"/>
  <c r="U345" i="16"/>
  <c r="T345" i="16"/>
  <c r="S345" i="16"/>
  <c r="M345" i="16"/>
  <c r="L345" i="16"/>
  <c r="K345" i="16"/>
  <c r="E345" i="16"/>
  <c r="D345" i="16"/>
  <c r="C345" i="16"/>
  <c r="U344" i="16"/>
  <c r="T344" i="16"/>
  <c r="S344" i="16"/>
  <c r="M344" i="16"/>
  <c r="L344" i="16"/>
  <c r="K344" i="16"/>
  <c r="E344" i="16"/>
  <c r="D344" i="16"/>
  <c r="C344" i="16"/>
  <c r="U343" i="16"/>
  <c r="T343" i="16"/>
  <c r="S343" i="16"/>
  <c r="M343" i="16"/>
  <c r="L343" i="16"/>
  <c r="K343" i="16"/>
  <c r="E343" i="16"/>
  <c r="D343" i="16"/>
  <c r="C343" i="16"/>
  <c r="U342" i="16"/>
  <c r="T342" i="16"/>
  <c r="S342" i="16"/>
  <c r="M342" i="16"/>
  <c r="L342" i="16"/>
  <c r="K342" i="16"/>
  <c r="E342" i="16"/>
  <c r="D342" i="16"/>
  <c r="C342" i="16"/>
  <c r="U341" i="16"/>
  <c r="T341" i="16"/>
  <c r="S341" i="16"/>
  <c r="M341" i="16"/>
  <c r="L341" i="16"/>
  <c r="K341" i="16"/>
  <c r="E341" i="16"/>
  <c r="D341" i="16"/>
  <c r="C341" i="16"/>
  <c r="U340" i="16"/>
  <c r="T340" i="16"/>
  <c r="S340" i="16"/>
  <c r="M340" i="16"/>
  <c r="L340" i="16"/>
  <c r="K340" i="16"/>
  <c r="E340" i="16"/>
  <c r="D340" i="16"/>
  <c r="C340" i="16"/>
  <c r="U339" i="16"/>
  <c r="T339" i="16"/>
  <c r="S339" i="16"/>
  <c r="M339" i="16"/>
  <c r="L339" i="16"/>
  <c r="K339" i="16"/>
  <c r="E339" i="16"/>
  <c r="D339" i="16"/>
  <c r="C339" i="16"/>
  <c r="U338" i="16"/>
  <c r="T338" i="16"/>
  <c r="S338" i="16"/>
  <c r="M338" i="16"/>
  <c r="L338" i="16"/>
  <c r="K338" i="16"/>
  <c r="E338" i="16"/>
  <c r="D338" i="16"/>
  <c r="C338" i="16"/>
  <c r="U337" i="16"/>
  <c r="T337" i="16"/>
  <c r="S337" i="16"/>
  <c r="M337" i="16"/>
  <c r="L337" i="16"/>
  <c r="K337" i="16"/>
  <c r="E337" i="16"/>
  <c r="D337" i="16"/>
  <c r="C337" i="16"/>
  <c r="U336" i="16"/>
  <c r="T336" i="16"/>
  <c r="S336" i="16"/>
  <c r="M336" i="16"/>
  <c r="L336" i="16"/>
  <c r="K336" i="16"/>
  <c r="E336" i="16"/>
  <c r="D336" i="16"/>
  <c r="C336" i="16"/>
  <c r="U335" i="16"/>
  <c r="T335" i="16"/>
  <c r="S335" i="16"/>
  <c r="M335" i="16"/>
  <c r="L335" i="16"/>
  <c r="K335" i="16"/>
  <c r="E335" i="16"/>
  <c r="D335" i="16"/>
  <c r="C335" i="16"/>
  <c r="U334" i="16"/>
  <c r="T334" i="16"/>
  <c r="S334" i="16"/>
  <c r="M334" i="16"/>
  <c r="L334" i="16"/>
  <c r="K334" i="16"/>
  <c r="E334" i="16"/>
  <c r="D334" i="16"/>
  <c r="C334" i="16"/>
  <c r="U333" i="16"/>
  <c r="T333" i="16"/>
  <c r="S333" i="16"/>
  <c r="M333" i="16"/>
  <c r="L333" i="16"/>
  <c r="K333" i="16"/>
  <c r="E333" i="16"/>
  <c r="D333" i="16"/>
  <c r="C333" i="16"/>
  <c r="U332" i="16"/>
  <c r="T332" i="16"/>
  <c r="S332" i="16"/>
  <c r="M332" i="16"/>
  <c r="L332" i="16"/>
  <c r="K332" i="16"/>
  <c r="E332" i="16"/>
  <c r="D332" i="16"/>
  <c r="C332" i="16"/>
  <c r="U331" i="16"/>
  <c r="T331" i="16"/>
  <c r="S331" i="16"/>
  <c r="M331" i="16"/>
  <c r="L331" i="16"/>
  <c r="K331" i="16"/>
  <c r="E331" i="16"/>
  <c r="D331" i="16"/>
  <c r="C331" i="16"/>
  <c r="U329" i="16"/>
  <c r="T329" i="16"/>
  <c r="S329" i="16"/>
  <c r="M329" i="16"/>
  <c r="L329" i="16"/>
  <c r="K329" i="16"/>
  <c r="E329" i="16"/>
  <c r="D329" i="16"/>
  <c r="C329" i="16"/>
  <c r="U328" i="16"/>
  <c r="T328" i="16"/>
  <c r="S328" i="16"/>
  <c r="M328" i="16"/>
  <c r="L328" i="16"/>
  <c r="K328" i="16"/>
  <c r="E328" i="16"/>
  <c r="D328" i="16"/>
  <c r="C328" i="16"/>
  <c r="U327" i="16"/>
  <c r="T327" i="16"/>
  <c r="S327" i="16"/>
  <c r="M327" i="16"/>
  <c r="L327" i="16"/>
  <c r="K327" i="16"/>
  <c r="E327" i="16"/>
  <c r="D327" i="16"/>
  <c r="C327" i="16"/>
  <c r="U326" i="16"/>
  <c r="T326" i="16"/>
  <c r="S326" i="16"/>
  <c r="M326" i="16"/>
  <c r="L326" i="16"/>
  <c r="K326" i="16"/>
  <c r="E326" i="16"/>
  <c r="D326" i="16"/>
  <c r="C326" i="16"/>
  <c r="U325" i="16"/>
  <c r="T325" i="16"/>
  <c r="S325" i="16"/>
  <c r="M325" i="16"/>
  <c r="L325" i="16"/>
  <c r="K325" i="16"/>
  <c r="E325" i="16"/>
  <c r="D325" i="16"/>
  <c r="C325" i="16"/>
  <c r="U324" i="16"/>
  <c r="T324" i="16"/>
  <c r="S324" i="16"/>
  <c r="M324" i="16"/>
  <c r="L324" i="16"/>
  <c r="K324" i="16"/>
  <c r="E324" i="16"/>
  <c r="D324" i="16"/>
  <c r="C324" i="16"/>
  <c r="U323" i="16"/>
  <c r="T323" i="16"/>
  <c r="S323" i="16"/>
  <c r="M323" i="16"/>
  <c r="L323" i="16"/>
  <c r="K323" i="16"/>
  <c r="E323" i="16"/>
  <c r="D323" i="16"/>
  <c r="C323" i="16"/>
  <c r="U322" i="16"/>
  <c r="T322" i="16"/>
  <c r="S322" i="16"/>
  <c r="M322" i="16"/>
  <c r="L322" i="16"/>
  <c r="K322" i="16"/>
  <c r="E322" i="16"/>
  <c r="D322" i="16"/>
  <c r="C322" i="16"/>
  <c r="U321" i="16"/>
  <c r="T321" i="16"/>
  <c r="S321" i="16"/>
  <c r="M321" i="16"/>
  <c r="L321" i="16"/>
  <c r="K321" i="16"/>
  <c r="E321" i="16"/>
  <c r="D321" i="16"/>
  <c r="C321" i="16"/>
  <c r="U320" i="16"/>
  <c r="T320" i="16"/>
  <c r="S320" i="16"/>
  <c r="M320" i="16"/>
  <c r="L320" i="16"/>
  <c r="K320" i="16"/>
  <c r="E320" i="16"/>
  <c r="D320" i="16"/>
  <c r="C320" i="16"/>
  <c r="U319" i="16"/>
  <c r="T319" i="16"/>
  <c r="S319" i="16"/>
  <c r="M319" i="16"/>
  <c r="L319" i="16"/>
  <c r="K319" i="16"/>
  <c r="E319" i="16"/>
  <c r="D319" i="16"/>
  <c r="C319" i="16"/>
  <c r="U318" i="16"/>
  <c r="T318" i="16"/>
  <c r="S318" i="16"/>
  <c r="M318" i="16"/>
  <c r="L318" i="16"/>
  <c r="K318" i="16"/>
  <c r="E318" i="16"/>
  <c r="D318" i="16"/>
  <c r="C318" i="16"/>
  <c r="U317" i="16"/>
  <c r="T317" i="16"/>
  <c r="S317" i="16"/>
  <c r="M317" i="16"/>
  <c r="L317" i="16"/>
  <c r="K317" i="16"/>
  <c r="E317" i="16"/>
  <c r="D317" i="16"/>
  <c r="C317" i="16"/>
  <c r="U316" i="16"/>
  <c r="T316" i="16"/>
  <c r="S316" i="16"/>
  <c r="M316" i="16"/>
  <c r="L316" i="16"/>
  <c r="K316" i="16"/>
  <c r="E316" i="16"/>
  <c r="D316" i="16"/>
  <c r="C316" i="16"/>
  <c r="U315" i="16"/>
  <c r="T315" i="16"/>
  <c r="S315" i="16"/>
  <c r="M315" i="16"/>
  <c r="L315" i="16"/>
  <c r="K315" i="16"/>
  <c r="E315" i="16"/>
  <c r="D315" i="16"/>
  <c r="C315" i="16"/>
  <c r="U314" i="16"/>
  <c r="T314" i="16"/>
  <c r="S314" i="16"/>
  <c r="M314" i="16"/>
  <c r="L314" i="16"/>
  <c r="K314" i="16"/>
  <c r="E314" i="16"/>
  <c r="D314" i="16"/>
  <c r="C314" i="16"/>
  <c r="U313" i="16"/>
  <c r="T313" i="16"/>
  <c r="S313" i="16"/>
  <c r="M313" i="16"/>
  <c r="L313" i="16"/>
  <c r="K313" i="16"/>
  <c r="E313" i="16"/>
  <c r="D313" i="16"/>
  <c r="C313" i="16"/>
  <c r="U312" i="16"/>
  <c r="T312" i="16"/>
  <c r="S312" i="16"/>
  <c r="M312" i="16"/>
  <c r="L312" i="16"/>
  <c r="K312" i="16"/>
  <c r="E312" i="16"/>
  <c r="D312" i="16"/>
  <c r="C312" i="16"/>
  <c r="U311" i="16"/>
  <c r="T311" i="16"/>
  <c r="S311" i="16"/>
  <c r="M311" i="16"/>
  <c r="L311" i="16"/>
  <c r="K311" i="16"/>
  <c r="E311" i="16"/>
  <c r="D311" i="16"/>
  <c r="C311" i="16"/>
  <c r="U310" i="16"/>
  <c r="T310" i="16"/>
  <c r="S310" i="16"/>
  <c r="M310" i="16"/>
  <c r="L310" i="16"/>
  <c r="K310" i="16"/>
  <c r="E310" i="16"/>
  <c r="D310" i="16"/>
  <c r="C310" i="16"/>
  <c r="U308" i="16"/>
  <c r="T308" i="16"/>
  <c r="S308" i="16"/>
  <c r="M308" i="16"/>
  <c r="L308" i="16"/>
  <c r="K308" i="16"/>
  <c r="E308" i="16"/>
  <c r="D308" i="16"/>
  <c r="C308" i="16"/>
  <c r="U307" i="16"/>
  <c r="T307" i="16"/>
  <c r="S307" i="16"/>
  <c r="M307" i="16"/>
  <c r="L307" i="16"/>
  <c r="K307" i="16"/>
  <c r="E307" i="16"/>
  <c r="D307" i="16"/>
  <c r="C307" i="16"/>
  <c r="U306" i="16"/>
  <c r="T306" i="16"/>
  <c r="S306" i="16"/>
  <c r="M306" i="16"/>
  <c r="L306" i="16"/>
  <c r="K306" i="16"/>
  <c r="E306" i="16"/>
  <c r="D306" i="16"/>
  <c r="C306" i="16"/>
  <c r="U305" i="16"/>
  <c r="T305" i="16"/>
  <c r="S305" i="16"/>
  <c r="M305" i="16"/>
  <c r="L305" i="16"/>
  <c r="K305" i="16"/>
  <c r="E305" i="16"/>
  <c r="D305" i="16"/>
  <c r="C305" i="16"/>
  <c r="U304" i="16"/>
  <c r="T304" i="16"/>
  <c r="S304" i="16"/>
  <c r="M304" i="16"/>
  <c r="L304" i="16"/>
  <c r="K304" i="16"/>
  <c r="E304" i="16"/>
  <c r="D304" i="16"/>
  <c r="C304" i="16"/>
  <c r="U303" i="16"/>
  <c r="T303" i="16"/>
  <c r="S303" i="16"/>
  <c r="M303" i="16"/>
  <c r="L303" i="16"/>
  <c r="K303" i="16"/>
  <c r="E303" i="16"/>
  <c r="D303" i="16"/>
  <c r="C303" i="16"/>
  <c r="U302" i="16"/>
  <c r="T302" i="16"/>
  <c r="S302" i="16"/>
  <c r="M302" i="16"/>
  <c r="L302" i="16"/>
  <c r="K302" i="16"/>
  <c r="E302" i="16"/>
  <c r="D302" i="16"/>
  <c r="C302" i="16"/>
  <c r="U301" i="16"/>
  <c r="T301" i="16"/>
  <c r="S301" i="16"/>
  <c r="M301" i="16"/>
  <c r="L301" i="16"/>
  <c r="K301" i="16"/>
  <c r="E301" i="16"/>
  <c r="D301" i="16"/>
  <c r="C301" i="16"/>
  <c r="U300" i="16"/>
  <c r="T300" i="16"/>
  <c r="S300" i="16"/>
  <c r="M300" i="16"/>
  <c r="L300" i="16"/>
  <c r="K300" i="16"/>
  <c r="E300" i="16"/>
  <c r="D300" i="16"/>
  <c r="C300" i="16"/>
  <c r="U299" i="16"/>
  <c r="T299" i="16"/>
  <c r="S299" i="16"/>
  <c r="M299" i="16"/>
  <c r="L299" i="16"/>
  <c r="K299" i="16"/>
  <c r="E299" i="16"/>
  <c r="D299" i="16"/>
  <c r="C299" i="16"/>
  <c r="U298" i="16"/>
  <c r="T298" i="16"/>
  <c r="S298" i="16"/>
  <c r="M298" i="16"/>
  <c r="L298" i="16"/>
  <c r="K298" i="16"/>
  <c r="E298" i="16"/>
  <c r="D298" i="16"/>
  <c r="C298" i="16"/>
  <c r="U297" i="16"/>
  <c r="T297" i="16"/>
  <c r="S297" i="16"/>
  <c r="M297" i="16"/>
  <c r="L297" i="16"/>
  <c r="K297" i="16"/>
  <c r="E297" i="16"/>
  <c r="D297" i="16"/>
  <c r="C297" i="16"/>
  <c r="U296" i="16"/>
  <c r="T296" i="16"/>
  <c r="S296" i="16"/>
  <c r="M296" i="16"/>
  <c r="L296" i="16"/>
  <c r="K296" i="16"/>
  <c r="E296" i="16"/>
  <c r="D296" i="16"/>
  <c r="C296" i="16"/>
  <c r="U295" i="16"/>
  <c r="T295" i="16"/>
  <c r="S295" i="16"/>
  <c r="M295" i="16"/>
  <c r="L295" i="16"/>
  <c r="K295" i="16"/>
  <c r="E295" i="16"/>
  <c r="D295" i="16"/>
  <c r="C295" i="16"/>
  <c r="U294" i="16"/>
  <c r="T294" i="16"/>
  <c r="S294" i="16"/>
  <c r="M294" i="16"/>
  <c r="L294" i="16"/>
  <c r="K294" i="16"/>
  <c r="E294" i="16"/>
  <c r="D294" i="16"/>
  <c r="C294" i="16"/>
  <c r="U293" i="16"/>
  <c r="T293" i="16"/>
  <c r="S293" i="16"/>
  <c r="M293" i="16"/>
  <c r="L293" i="16"/>
  <c r="K293" i="16"/>
  <c r="E293" i="16"/>
  <c r="D293" i="16"/>
  <c r="C293" i="16"/>
  <c r="Z292" i="16"/>
  <c r="U292" i="16"/>
  <c r="T292" i="16"/>
  <c r="S292" i="16"/>
  <c r="M292" i="16"/>
  <c r="L292" i="16"/>
  <c r="K292" i="16"/>
  <c r="E292" i="16"/>
  <c r="D292" i="16"/>
  <c r="C292" i="16"/>
  <c r="Z291" i="16"/>
  <c r="U291" i="16"/>
  <c r="T291" i="16"/>
  <c r="S291" i="16"/>
  <c r="M291" i="16"/>
  <c r="L291" i="16"/>
  <c r="K291" i="16"/>
  <c r="E291" i="16"/>
  <c r="D291" i="16"/>
  <c r="C291" i="16"/>
  <c r="Z290" i="16"/>
  <c r="U290" i="16"/>
  <c r="T290" i="16"/>
  <c r="S290" i="16"/>
  <c r="M290" i="16"/>
  <c r="L290" i="16"/>
  <c r="K290" i="16"/>
  <c r="E290" i="16"/>
  <c r="D290" i="16"/>
  <c r="C290" i="16"/>
  <c r="Z289" i="16"/>
  <c r="U289" i="16"/>
  <c r="T289" i="16"/>
  <c r="S289" i="16"/>
  <c r="M289" i="16"/>
  <c r="L289" i="16"/>
  <c r="K289" i="16"/>
  <c r="E289" i="16"/>
  <c r="D289" i="16"/>
  <c r="C289" i="16"/>
  <c r="Z288" i="16"/>
  <c r="Z287" i="16"/>
  <c r="U287" i="16"/>
  <c r="T287" i="16"/>
  <c r="S287" i="16"/>
  <c r="M287" i="16"/>
  <c r="L287" i="16"/>
  <c r="K287" i="16"/>
  <c r="E287" i="16"/>
  <c r="D287" i="16"/>
  <c r="C287" i="16"/>
  <c r="Z286" i="16"/>
  <c r="U286" i="16"/>
  <c r="T286" i="16"/>
  <c r="S286" i="16"/>
  <c r="M286" i="16"/>
  <c r="L286" i="16"/>
  <c r="K286" i="16"/>
  <c r="E286" i="16"/>
  <c r="D286" i="16"/>
  <c r="C286" i="16"/>
  <c r="Z285" i="16"/>
  <c r="U285" i="16"/>
  <c r="T285" i="16"/>
  <c r="S285" i="16"/>
  <c r="M285" i="16"/>
  <c r="L285" i="16"/>
  <c r="K285" i="16"/>
  <c r="E285" i="16"/>
  <c r="D285" i="16"/>
  <c r="C285" i="16"/>
  <c r="Z284" i="16"/>
  <c r="U284" i="16"/>
  <c r="T284" i="16"/>
  <c r="S284" i="16"/>
  <c r="M284" i="16"/>
  <c r="L284" i="16"/>
  <c r="K284" i="16"/>
  <c r="E284" i="16"/>
  <c r="D284" i="16"/>
  <c r="C284" i="16"/>
  <c r="Z283" i="16"/>
  <c r="U283" i="16"/>
  <c r="T283" i="16"/>
  <c r="S283" i="16"/>
  <c r="M283" i="16"/>
  <c r="L283" i="16"/>
  <c r="K283" i="16"/>
  <c r="E283" i="16"/>
  <c r="D283" i="16"/>
  <c r="C283" i="16"/>
  <c r="Z282" i="16"/>
  <c r="U282" i="16"/>
  <c r="T282" i="16"/>
  <c r="S282" i="16"/>
  <c r="M282" i="16"/>
  <c r="L282" i="16"/>
  <c r="K282" i="16"/>
  <c r="E282" i="16"/>
  <c r="D282" i="16"/>
  <c r="C282" i="16"/>
  <c r="Z281" i="16"/>
  <c r="U281" i="16"/>
  <c r="T281" i="16"/>
  <c r="S281" i="16"/>
  <c r="M281" i="16"/>
  <c r="L281" i="16"/>
  <c r="K281" i="16"/>
  <c r="E281" i="16"/>
  <c r="D281" i="16"/>
  <c r="C281" i="16"/>
  <c r="Z280" i="16"/>
  <c r="U280" i="16"/>
  <c r="T280" i="16"/>
  <c r="S280" i="16"/>
  <c r="M280" i="16"/>
  <c r="L280" i="16"/>
  <c r="K280" i="16"/>
  <c r="E280" i="16"/>
  <c r="D280" i="16"/>
  <c r="C280" i="16"/>
  <c r="Z279" i="16"/>
  <c r="U279" i="16"/>
  <c r="T279" i="16"/>
  <c r="S279" i="16"/>
  <c r="M279" i="16"/>
  <c r="L279" i="16"/>
  <c r="K279" i="16"/>
  <c r="E279" i="16"/>
  <c r="D279" i="16"/>
  <c r="C279" i="16"/>
  <c r="Z278" i="16"/>
  <c r="U278" i="16"/>
  <c r="T278" i="16"/>
  <c r="S278" i="16"/>
  <c r="M278" i="16"/>
  <c r="L278" i="16"/>
  <c r="K278" i="16"/>
  <c r="E278" i="16"/>
  <c r="D278" i="16"/>
  <c r="C278" i="16"/>
  <c r="Z277" i="16"/>
  <c r="U277" i="16"/>
  <c r="T277" i="16"/>
  <c r="S277" i="16"/>
  <c r="M277" i="16"/>
  <c r="L277" i="16"/>
  <c r="K277" i="16"/>
  <c r="E277" i="16"/>
  <c r="D277" i="16"/>
  <c r="C277" i="16"/>
  <c r="Z276" i="16"/>
  <c r="U276" i="16"/>
  <c r="T276" i="16"/>
  <c r="S276" i="16"/>
  <c r="M276" i="16"/>
  <c r="L276" i="16"/>
  <c r="K276" i="16"/>
  <c r="E276" i="16"/>
  <c r="D276" i="16"/>
  <c r="C276" i="16"/>
  <c r="Z275" i="16"/>
  <c r="U275" i="16"/>
  <c r="T275" i="16"/>
  <c r="S275" i="16"/>
  <c r="M275" i="16"/>
  <c r="L275" i="16"/>
  <c r="K275" i="16"/>
  <c r="E275" i="16"/>
  <c r="D275" i="16"/>
  <c r="C275" i="16"/>
  <c r="Z274" i="16"/>
  <c r="U274" i="16"/>
  <c r="T274" i="16"/>
  <c r="S274" i="16"/>
  <c r="M274" i="16"/>
  <c r="L274" i="16"/>
  <c r="K274" i="16"/>
  <c r="E274" i="16"/>
  <c r="D274" i="16"/>
  <c r="C274" i="16"/>
  <c r="Z273" i="16"/>
  <c r="U273" i="16"/>
  <c r="T273" i="16"/>
  <c r="S273" i="16"/>
  <c r="M273" i="16"/>
  <c r="L273" i="16"/>
  <c r="K273" i="16"/>
  <c r="E273" i="16"/>
  <c r="D273" i="16"/>
  <c r="C273" i="16"/>
  <c r="U272" i="16"/>
  <c r="T272" i="16"/>
  <c r="S272" i="16"/>
  <c r="M272" i="16"/>
  <c r="L272" i="16"/>
  <c r="K272" i="16"/>
  <c r="E272" i="16"/>
  <c r="D272" i="16"/>
  <c r="C272" i="16"/>
  <c r="U271" i="16"/>
  <c r="T271" i="16"/>
  <c r="S271" i="16"/>
  <c r="M271" i="16"/>
  <c r="L271" i="16"/>
  <c r="K271" i="16"/>
  <c r="E271" i="16"/>
  <c r="D271" i="16"/>
  <c r="C271" i="16"/>
  <c r="U270" i="16"/>
  <c r="T270" i="16"/>
  <c r="S270" i="16"/>
  <c r="M270" i="16"/>
  <c r="L270" i="16"/>
  <c r="K270" i="16"/>
  <c r="E270" i="16"/>
  <c r="D270" i="16"/>
  <c r="C270" i="16"/>
  <c r="U269" i="16"/>
  <c r="T269" i="16"/>
  <c r="S269" i="16"/>
  <c r="M269" i="16"/>
  <c r="L269" i="16"/>
  <c r="K269" i="16"/>
  <c r="E269" i="16"/>
  <c r="D269" i="16"/>
  <c r="C269" i="16"/>
  <c r="Z268" i="16"/>
  <c r="U268" i="16"/>
  <c r="T268" i="16"/>
  <c r="S268" i="16"/>
  <c r="M268" i="16"/>
  <c r="L268" i="16"/>
  <c r="K268" i="16"/>
  <c r="E268" i="16"/>
  <c r="D268" i="16"/>
  <c r="C268" i="16"/>
  <c r="Z267" i="16"/>
  <c r="Z266" i="16"/>
  <c r="U266" i="16"/>
  <c r="T266" i="16"/>
  <c r="S266" i="16"/>
  <c r="M266" i="16"/>
  <c r="L266" i="16"/>
  <c r="K266" i="16"/>
  <c r="E266" i="16"/>
  <c r="D266" i="16"/>
  <c r="C266" i="16"/>
  <c r="Z265" i="16"/>
  <c r="U265" i="16"/>
  <c r="T265" i="16"/>
  <c r="S265" i="16"/>
  <c r="M265" i="16"/>
  <c r="L265" i="16"/>
  <c r="K265" i="16"/>
  <c r="E265" i="16"/>
  <c r="D265" i="16"/>
  <c r="C265" i="16"/>
  <c r="Z264" i="16"/>
  <c r="U264" i="16"/>
  <c r="T264" i="16"/>
  <c r="S264" i="16"/>
  <c r="M264" i="16"/>
  <c r="L264" i="16"/>
  <c r="K264" i="16"/>
  <c r="E264" i="16"/>
  <c r="D264" i="16"/>
  <c r="C264" i="16"/>
  <c r="Z263" i="16"/>
  <c r="U263" i="16"/>
  <c r="T263" i="16"/>
  <c r="S263" i="16"/>
  <c r="M263" i="16"/>
  <c r="L263" i="16"/>
  <c r="K263" i="16"/>
  <c r="E263" i="16"/>
  <c r="D263" i="16"/>
  <c r="C263" i="16"/>
  <c r="Z262" i="16"/>
  <c r="U262" i="16"/>
  <c r="T262" i="16"/>
  <c r="S262" i="16"/>
  <c r="M262" i="16"/>
  <c r="L262" i="16"/>
  <c r="K262" i="16"/>
  <c r="E262" i="16"/>
  <c r="D262" i="16"/>
  <c r="C262" i="16"/>
  <c r="Z261" i="16"/>
  <c r="U261" i="16"/>
  <c r="T261" i="16"/>
  <c r="S261" i="16"/>
  <c r="M261" i="16"/>
  <c r="L261" i="16"/>
  <c r="K261" i="16"/>
  <c r="E261" i="16"/>
  <c r="D261" i="16"/>
  <c r="C261" i="16"/>
  <c r="Z260" i="16"/>
  <c r="U260" i="16"/>
  <c r="T260" i="16"/>
  <c r="S260" i="16"/>
  <c r="M260" i="16"/>
  <c r="L260" i="16"/>
  <c r="K260" i="16"/>
  <c r="E260" i="16"/>
  <c r="D260" i="16"/>
  <c r="C260" i="16"/>
  <c r="Z259" i="16"/>
  <c r="U259" i="16"/>
  <c r="T259" i="16"/>
  <c r="S259" i="16"/>
  <c r="M259" i="16"/>
  <c r="L259" i="16"/>
  <c r="K259" i="16"/>
  <c r="E259" i="16"/>
  <c r="D259" i="16"/>
  <c r="C259" i="16"/>
  <c r="Z258" i="16"/>
  <c r="U258" i="16"/>
  <c r="T258" i="16"/>
  <c r="S258" i="16"/>
  <c r="M258" i="16"/>
  <c r="L258" i="16"/>
  <c r="K258" i="16"/>
  <c r="E258" i="16"/>
  <c r="D258" i="16"/>
  <c r="C258" i="16"/>
  <c r="Z257" i="16"/>
  <c r="U257" i="16"/>
  <c r="T257" i="16"/>
  <c r="S257" i="16"/>
  <c r="M257" i="16"/>
  <c r="L257" i="16"/>
  <c r="K257" i="16"/>
  <c r="E257" i="16"/>
  <c r="D257" i="16"/>
  <c r="C257" i="16"/>
  <c r="Z256" i="16"/>
  <c r="U256" i="16"/>
  <c r="T256" i="16"/>
  <c r="S256" i="16"/>
  <c r="M256" i="16"/>
  <c r="L256" i="16"/>
  <c r="K256" i="16"/>
  <c r="E256" i="16"/>
  <c r="D256" i="16"/>
  <c r="C256" i="16"/>
  <c r="Z255" i="16"/>
  <c r="U255" i="16"/>
  <c r="T255" i="16"/>
  <c r="S255" i="16"/>
  <c r="M255" i="16"/>
  <c r="L255" i="16"/>
  <c r="K255" i="16"/>
  <c r="E255" i="16"/>
  <c r="D255" i="16"/>
  <c r="C255" i="16"/>
  <c r="Z254" i="16"/>
  <c r="U254" i="16"/>
  <c r="T254" i="16"/>
  <c r="S254" i="16"/>
  <c r="M254" i="16"/>
  <c r="L254" i="16"/>
  <c r="K254" i="16"/>
  <c r="E254" i="16"/>
  <c r="D254" i="16"/>
  <c r="C254" i="16"/>
  <c r="Z253" i="16"/>
  <c r="U253" i="16"/>
  <c r="T253" i="16"/>
  <c r="S253" i="16"/>
  <c r="M253" i="16"/>
  <c r="L253" i="16"/>
  <c r="K253" i="16"/>
  <c r="E253" i="16"/>
  <c r="D253" i="16"/>
  <c r="C253" i="16"/>
  <c r="Z252" i="16"/>
  <c r="U252" i="16"/>
  <c r="T252" i="16"/>
  <c r="S252" i="16"/>
  <c r="M252" i="16"/>
  <c r="L252" i="16"/>
  <c r="K252" i="16"/>
  <c r="E252" i="16"/>
  <c r="D252" i="16"/>
  <c r="C252" i="16"/>
  <c r="Z251" i="16"/>
  <c r="U251" i="16"/>
  <c r="T251" i="16"/>
  <c r="S251" i="16"/>
  <c r="M251" i="16"/>
  <c r="L251" i="16"/>
  <c r="K251" i="16"/>
  <c r="E251" i="16"/>
  <c r="D251" i="16"/>
  <c r="C251" i="16"/>
  <c r="Z250" i="16"/>
  <c r="U250" i="16"/>
  <c r="T250" i="16"/>
  <c r="S250" i="16"/>
  <c r="M250" i="16"/>
  <c r="L250" i="16"/>
  <c r="K250" i="16"/>
  <c r="E250" i="16"/>
  <c r="D250" i="16"/>
  <c r="C250" i="16"/>
  <c r="Z249" i="16"/>
  <c r="U249" i="16"/>
  <c r="T249" i="16"/>
  <c r="S249" i="16"/>
  <c r="M249" i="16"/>
  <c r="L249" i="16"/>
  <c r="K249" i="16"/>
  <c r="E249" i="16"/>
  <c r="D249" i="16"/>
  <c r="C249" i="16"/>
  <c r="U248" i="16"/>
  <c r="T248" i="16"/>
  <c r="S248" i="16"/>
  <c r="M248" i="16"/>
  <c r="L248" i="16"/>
  <c r="K248" i="16"/>
  <c r="E248" i="16"/>
  <c r="D248" i="16"/>
  <c r="C248" i="16"/>
  <c r="U247" i="16"/>
  <c r="T247" i="16"/>
  <c r="S247" i="16"/>
  <c r="M247" i="16"/>
  <c r="L247" i="16"/>
  <c r="K247" i="16"/>
  <c r="E247" i="16"/>
  <c r="D247" i="16"/>
  <c r="C247" i="16"/>
  <c r="U245" i="16"/>
  <c r="T245" i="16"/>
  <c r="S245" i="16"/>
  <c r="M245" i="16"/>
  <c r="L245" i="16"/>
  <c r="K245" i="16"/>
  <c r="E245" i="16"/>
  <c r="D245" i="16"/>
  <c r="C245" i="16"/>
  <c r="Z244" i="16"/>
  <c r="U244" i="16"/>
  <c r="T244" i="16"/>
  <c r="S244" i="16"/>
  <c r="M244" i="16"/>
  <c r="L244" i="16"/>
  <c r="K244" i="16"/>
  <c r="E244" i="16"/>
  <c r="D244" i="16"/>
  <c r="C244" i="16"/>
  <c r="Z243" i="16"/>
  <c r="U243" i="16"/>
  <c r="T243" i="16"/>
  <c r="S243" i="16"/>
  <c r="M243" i="16"/>
  <c r="L243" i="16"/>
  <c r="K243" i="16"/>
  <c r="E243" i="16"/>
  <c r="D243" i="16"/>
  <c r="C243" i="16"/>
  <c r="Z242" i="16"/>
  <c r="U242" i="16"/>
  <c r="T242" i="16"/>
  <c r="S242" i="16"/>
  <c r="M242" i="16"/>
  <c r="L242" i="16"/>
  <c r="K242" i="16"/>
  <c r="E242" i="16"/>
  <c r="D242" i="16"/>
  <c r="C242" i="16"/>
  <c r="Z241" i="16"/>
  <c r="U241" i="16"/>
  <c r="T241" i="16"/>
  <c r="S241" i="16"/>
  <c r="M241" i="16"/>
  <c r="L241" i="16"/>
  <c r="K241" i="16"/>
  <c r="E241" i="16"/>
  <c r="D241" i="16"/>
  <c r="C241" i="16"/>
  <c r="Z240" i="16"/>
  <c r="U240" i="16"/>
  <c r="T240" i="16"/>
  <c r="S240" i="16"/>
  <c r="M240" i="16"/>
  <c r="L240" i="16"/>
  <c r="K240" i="16"/>
  <c r="E240" i="16"/>
  <c r="D240" i="16"/>
  <c r="C240" i="16"/>
  <c r="Z239" i="16"/>
  <c r="U239" i="16"/>
  <c r="T239" i="16"/>
  <c r="S239" i="16"/>
  <c r="M239" i="16"/>
  <c r="L239" i="16"/>
  <c r="K239" i="16"/>
  <c r="E239" i="16"/>
  <c r="D239" i="16"/>
  <c r="C239" i="16"/>
  <c r="Z238" i="16"/>
  <c r="U238" i="16"/>
  <c r="T238" i="16"/>
  <c r="S238" i="16"/>
  <c r="M238" i="16"/>
  <c r="L238" i="16"/>
  <c r="K238" i="16"/>
  <c r="E238" i="16"/>
  <c r="D238" i="16"/>
  <c r="C238" i="16"/>
  <c r="Z237" i="16"/>
  <c r="U237" i="16"/>
  <c r="T237" i="16"/>
  <c r="S237" i="16"/>
  <c r="M237" i="16"/>
  <c r="L237" i="16"/>
  <c r="K237" i="16"/>
  <c r="E237" i="16"/>
  <c r="D237" i="16"/>
  <c r="C237" i="16"/>
  <c r="Z236" i="16"/>
  <c r="U236" i="16"/>
  <c r="T236" i="16"/>
  <c r="S236" i="16"/>
  <c r="M236" i="16"/>
  <c r="L236" i="16"/>
  <c r="K236" i="16"/>
  <c r="E236" i="16"/>
  <c r="D236" i="16"/>
  <c r="C236" i="16"/>
  <c r="Z235" i="16"/>
  <c r="U235" i="16"/>
  <c r="T235" i="16"/>
  <c r="S235" i="16"/>
  <c r="M235" i="16"/>
  <c r="L235" i="16"/>
  <c r="K235" i="16"/>
  <c r="E235" i="16"/>
  <c r="D235" i="16"/>
  <c r="C235" i="16"/>
  <c r="Z234" i="16"/>
  <c r="U234" i="16"/>
  <c r="T234" i="16"/>
  <c r="S234" i="16"/>
  <c r="M234" i="16"/>
  <c r="L234" i="16"/>
  <c r="K234" i="16"/>
  <c r="E234" i="16"/>
  <c r="D234" i="16"/>
  <c r="C234" i="16"/>
  <c r="Z233" i="16"/>
  <c r="U233" i="16"/>
  <c r="T233" i="16"/>
  <c r="S233" i="16"/>
  <c r="M233" i="16"/>
  <c r="L233" i="16"/>
  <c r="K233" i="16"/>
  <c r="E233" i="16"/>
  <c r="D233" i="16"/>
  <c r="C233" i="16"/>
  <c r="Z232" i="16"/>
  <c r="U232" i="16"/>
  <c r="T232" i="16"/>
  <c r="S232" i="16"/>
  <c r="M232" i="16"/>
  <c r="L232" i="16"/>
  <c r="K232" i="16"/>
  <c r="E232" i="16"/>
  <c r="D232" i="16"/>
  <c r="C232" i="16"/>
  <c r="Z231" i="16"/>
  <c r="U231" i="16"/>
  <c r="T231" i="16"/>
  <c r="S231" i="16"/>
  <c r="M231" i="16"/>
  <c r="L231" i="16"/>
  <c r="K231" i="16"/>
  <c r="E231" i="16"/>
  <c r="D231" i="16"/>
  <c r="C231" i="16"/>
  <c r="Z230" i="16"/>
  <c r="U230" i="16"/>
  <c r="T230" i="16"/>
  <c r="S230" i="16"/>
  <c r="M230" i="16"/>
  <c r="L230" i="16"/>
  <c r="K230" i="16"/>
  <c r="E230" i="16"/>
  <c r="D230" i="16"/>
  <c r="C230" i="16"/>
  <c r="Z229" i="16"/>
  <c r="U229" i="16"/>
  <c r="T229" i="16"/>
  <c r="S229" i="16"/>
  <c r="M229" i="16"/>
  <c r="L229" i="16"/>
  <c r="K229" i="16"/>
  <c r="E229" i="16"/>
  <c r="D229" i="16"/>
  <c r="C229" i="16"/>
  <c r="Z228" i="16"/>
  <c r="U228" i="16"/>
  <c r="T228" i="16"/>
  <c r="S228" i="16"/>
  <c r="M228" i="16"/>
  <c r="L228" i="16"/>
  <c r="K228" i="16"/>
  <c r="E228" i="16"/>
  <c r="D228" i="16"/>
  <c r="C228" i="16"/>
  <c r="Z227" i="16"/>
  <c r="U227" i="16"/>
  <c r="T227" i="16"/>
  <c r="S227" i="16"/>
  <c r="M227" i="16"/>
  <c r="L227" i="16"/>
  <c r="K227" i="16"/>
  <c r="E227" i="16"/>
  <c r="D227" i="16"/>
  <c r="C227" i="16"/>
  <c r="Z226" i="16"/>
  <c r="U226" i="16"/>
  <c r="T226" i="16"/>
  <c r="S226" i="16"/>
  <c r="M226" i="16"/>
  <c r="L226" i="16"/>
  <c r="K226" i="16"/>
  <c r="E226" i="16"/>
  <c r="D226" i="16"/>
  <c r="C226" i="16"/>
  <c r="Z225" i="16"/>
  <c r="W371" i="16"/>
  <c r="O371" i="16"/>
  <c r="G371" i="16"/>
  <c r="W350" i="16"/>
  <c r="O350" i="16"/>
  <c r="G350" i="16"/>
  <c r="W329" i="16"/>
  <c r="O329" i="16"/>
  <c r="G329" i="16"/>
  <c r="W308" i="16"/>
  <c r="O308" i="16"/>
  <c r="G308" i="16"/>
  <c r="W287" i="16"/>
  <c r="O287" i="16"/>
  <c r="G287" i="16"/>
  <c r="W266" i="16"/>
  <c r="O266" i="16"/>
  <c r="G266" i="16"/>
  <c r="W245" i="16"/>
  <c r="O245" i="16"/>
  <c r="G245" i="16"/>
  <c r="L213" i="16"/>
  <c r="S213" i="16" s="1"/>
  <c r="K213" i="16"/>
  <c r="R213" i="16" s="1"/>
  <c r="I211" i="16"/>
  <c r="P211" i="16" s="1"/>
  <c r="W370" i="16"/>
  <c r="O370" i="16"/>
  <c r="G370" i="16"/>
  <c r="W349" i="16"/>
  <c r="O349" i="16"/>
  <c r="G349" i="16"/>
  <c r="W328" i="16"/>
  <c r="O328" i="16"/>
  <c r="G328" i="16"/>
  <c r="W307" i="16"/>
  <c r="O307" i="16"/>
  <c r="G307" i="16"/>
  <c r="W286" i="16"/>
  <c r="O286" i="16"/>
  <c r="W265" i="16"/>
  <c r="O265" i="16"/>
  <c r="G265" i="16"/>
  <c r="W244" i="16"/>
  <c r="O244" i="16"/>
  <c r="G244" i="16"/>
  <c r="L202" i="16"/>
  <c r="S202" i="16" s="1"/>
  <c r="K202" i="16"/>
  <c r="R202" i="16" s="1"/>
  <c r="I200" i="16"/>
  <c r="P200" i="16" s="1"/>
  <c r="W369" i="16"/>
  <c r="O369" i="16"/>
  <c r="G369" i="16"/>
  <c r="W348" i="16"/>
  <c r="O348" i="16"/>
  <c r="G348" i="16"/>
  <c r="W327" i="16"/>
  <c r="O327" i="16"/>
  <c r="G327" i="16"/>
  <c r="W306" i="16"/>
  <c r="O306" i="16"/>
  <c r="G306" i="16"/>
  <c r="W285" i="16"/>
  <c r="O285" i="16"/>
  <c r="W264" i="16"/>
  <c r="O264" i="16"/>
  <c r="G264" i="16"/>
  <c r="W243" i="16"/>
  <c r="O243" i="16"/>
  <c r="G243" i="16"/>
  <c r="L191" i="16"/>
  <c r="S191" i="16" s="1"/>
  <c r="K191" i="16"/>
  <c r="R191" i="16" s="1"/>
  <c r="I189" i="16"/>
  <c r="P189" i="16" s="1"/>
  <c r="W368" i="16"/>
  <c r="O368" i="16"/>
  <c r="G368" i="16"/>
  <c r="W347" i="16"/>
  <c r="O347" i="16"/>
  <c r="G347" i="16"/>
  <c r="W326" i="16"/>
  <c r="O326" i="16"/>
  <c r="G326" i="16"/>
  <c r="W305" i="16"/>
  <c r="O305" i="16"/>
  <c r="G305" i="16"/>
  <c r="W284" i="16"/>
  <c r="O284" i="16"/>
  <c r="G284" i="16"/>
  <c r="W263" i="16"/>
  <c r="O263" i="16"/>
  <c r="G263" i="16"/>
  <c r="W242" i="16"/>
  <c r="O242" i="16"/>
  <c r="G242" i="16"/>
  <c r="L180" i="16"/>
  <c r="S180" i="16" s="1"/>
  <c r="K180" i="16"/>
  <c r="R180" i="16" s="1"/>
  <c r="I178" i="16"/>
  <c r="P178" i="16" s="1"/>
  <c r="W367" i="16"/>
  <c r="O367" i="16"/>
  <c r="G367" i="16"/>
  <c r="W346" i="16"/>
  <c r="O346" i="16"/>
  <c r="G346" i="16"/>
  <c r="W325" i="16"/>
  <c r="O325" i="16"/>
  <c r="G325" i="16"/>
  <c r="W304" i="16"/>
  <c r="O304" i="16"/>
  <c r="G304" i="16"/>
  <c r="W283" i="16"/>
  <c r="O283" i="16"/>
  <c r="G283" i="16"/>
  <c r="W262" i="16"/>
  <c r="O262" i="16"/>
  <c r="G262" i="16"/>
  <c r="W241" i="16"/>
  <c r="O241" i="16"/>
  <c r="G241" i="16"/>
  <c r="L169" i="16"/>
  <c r="S169" i="16" s="1"/>
  <c r="K169" i="16"/>
  <c r="R169" i="16" s="1"/>
  <c r="I167" i="16"/>
  <c r="P167" i="16" s="1"/>
  <c r="W366" i="16"/>
  <c r="O366" i="16"/>
  <c r="G366" i="16"/>
  <c r="W345" i="16"/>
  <c r="O345" i="16"/>
  <c r="G345" i="16"/>
  <c r="W324" i="16"/>
  <c r="O324" i="16"/>
  <c r="G324" i="16"/>
  <c r="W303" i="16"/>
  <c r="O303" i="16"/>
  <c r="G303" i="16"/>
  <c r="W282" i="16"/>
  <c r="O282" i="16"/>
  <c r="G282" i="16"/>
  <c r="W261" i="16"/>
  <c r="O261" i="16"/>
  <c r="G261" i="16"/>
  <c r="W240" i="16"/>
  <c r="O240" i="16"/>
  <c r="G240" i="16"/>
  <c r="L158" i="16"/>
  <c r="S158" i="16" s="1"/>
  <c r="K158" i="16"/>
  <c r="R158" i="16" s="1"/>
  <c r="I156" i="16"/>
  <c r="P156" i="16" s="1"/>
  <c r="W365" i="16"/>
  <c r="O365" i="16"/>
  <c r="G365" i="16"/>
  <c r="W344" i="16"/>
  <c r="O344" i="16"/>
  <c r="G344" i="16"/>
  <c r="W323" i="16"/>
  <c r="O323" i="16"/>
  <c r="G323" i="16"/>
  <c r="W302" i="16"/>
  <c r="W281" i="16"/>
  <c r="G281" i="16"/>
  <c r="W260" i="16"/>
  <c r="O260" i="16"/>
  <c r="G260" i="16"/>
  <c r="W239" i="16"/>
  <c r="O239" i="16"/>
  <c r="G239" i="16"/>
  <c r="L147" i="16"/>
  <c r="S147" i="16" s="1"/>
  <c r="K147" i="16"/>
  <c r="R147" i="16" s="1"/>
  <c r="I145" i="16"/>
  <c r="P145" i="16" s="1"/>
  <c r="W364" i="16"/>
  <c r="O364" i="16"/>
  <c r="G364" i="16"/>
  <c r="W343" i="16"/>
  <c r="O343" i="16"/>
  <c r="G343" i="16"/>
  <c r="W322" i="16"/>
  <c r="O322" i="16"/>
  <c r="G322" i="16"/>
  <c r="W301" i="16"/>
  <c r="O301" i="16"/>
  <c r="W280" i="16"/>
  <c r="O280" i="16"/>
  <c r="G280" i="16"/>
  <c r="W259" i="16"/>
  <c r="O259" i="16"/>
  <c r="G259" i="16"/>
  <c r="W238" i="16"/>
  <c r="O238" i="16"/>
  <c r="G238" i="16"/>
  <c r="L136" i="16"/>
  <c r="S136" i="16" s="1"/>
  <c r="K136" i="16"/>
  <c r="R136" i="16" s="1"/>
  <c r="I134" i="16"/>
  <c r="P134" i="16" s="1"/>
  <c r="W363" i="16"/>
  <c r="O363" i="16"/>
  <c r="G363" i="16"/>
  <c r="W342" i="16"/>
  <c r="O342" i="16"/>
  <c r="G342" i="16"/>
  <c r="W321" i="16"/>
  <c r="O321" i="16"/>
  <c r="G321" i="16"/>
  <c r="W300" i="16"/>
  <c r="O300" i="16"/>
  <c r="G300" i="16"/>
  <c r="W279" i="16"/>
  <c r="O279" i="16"/>
  <c r="G279" i="16"/>
  <c r="W258" i="16"/>
  <c r="O258" i="16"/>
  <c r="G258" i="16"/>
  <c r="W237" i="16"/>
  <c r="O237" i="16"/>
  <c r="G237" i="16"/>
  <c r="L125" i="16"/>
  <c r="S125" i="16" s="1"/>
  <c r="K125" i="16"/>
  <c r="R125" i="16" s="1"/>
  <c r="I123" i="16"/>
  <c r="P123" i="16" s="1"/>
  <c r="W362" i="16"/>
  <c r="O362" i="16"/>
  <c r="G362" i="16"/>
  <c r="W341" i="16"/>
  <c r="O341" i="16"/>
  <c r="G341" i="16"/>
  <c r="W320" i="16"/>
  <c r="O320" i="16"/>
  <c r="G320" i="16"/>
  <c r="W299" i="16"/>
  <c r="O299" i="16"/>
  <c r="G299" i="16"/>
  <c r="W278" i="16"/>
  <c r="O278" i="16"/>
  <c r="G278" i="16"/>
  <c r="W257" i="16"/>
  <c r="O257" i="16"/>
  <c r="G257" i="16"/>
  <c r="W236" i="16"/>
  <c r="O236" i="16"/>
  <c r="G236" i="16"/>
  <c r="L114" i="16"/>
  <c r="S114" i="16" s="1"/>
  <c r="K114" i="16"/>
  <c r="R114" i="16" s="1"/>
  <c r="I112" i="16"/>
  <c r="P112" i="16" s="1"/>
  <c r="W361" i="16"/>
  <c r="O361" i="16"/>
  <c r="G361" i="16"/>
  <c r="W340" i="16"/>
  <c r="O340" i="16"/>
  <c r="G340" i="16"/>
  <c r="W319" i="16"/>
  <c r="O319" i="16"/>
  <c r="G319" i="16"/>
  <c r="W298" i="16"/>
  <c r="O298" i="16"/>
  <c r="G298" i="16"/>
  <c r="W277" i="16"/>
  <c r="O277" i="16"/>
  <c r="G277" i="16"/>
  <c r="W256" i="16"/>
  <c r="O256" i="16"/>
  <c r="G256" i="16"/>
  <c r="W235" i="16"/>
  <c r="O235" i="16"/>
  <c r="G235" i="16"/>
  <c r="L103" i="16"/>
  <c r="S103" i="16" s="1"/>
  <c r="K103" i="16"/>
  <c r="R103" i="16" s="1"/>
  <c r="I101" i="16"/>
  <c r="P101" i="16" s="1"/>
  <c r="W360" i="16"/>
  <c r="O360" i="16"/>
  <c r="G360" i="16"/>
  <c r="W339" i="16"/>
  <c r="O339" i="16"/>
  <c r="G339" i="16"/>
  <c r="W318" i="16"/>
  <c r="O318" i="16"/>
  <c r="G318" i="16"/>
  <c r="W297" i="16"/>
  <c r="O297" i="16"/>
  <c r="G297" i="16"/>
  <c r="W276" i="16"/>
  <c r="O276" i="16"/>
  <c r="G276" i="16"/>
  <c r="W255" i="16"/>
  <c r="O255" i="16"/>
  <c r="G255" i="16"/>
  <c r="W234" i="16"/>
  <c r="O234" i="16"/>
  <c r="G234" i="16"/>
  <c r="L92" i="16"/>
  <c r="S92" i="16" s="1"/>
  <c r="K92" i="16"/>
  <c r="R92" i="16" s="1"/>
  <c r="I90" i="16"/>
  <c r="P90" i="16" s="1"/>
  <c r="W359" i="16"/>
  <c r="O359" i="16"/>
  <c r="G359" i="16"/>
  <c r="W338" i="16"/>
  <c r="O338" i="16"/>
  <c r="G338" i="16"/>
  <c r="W317" i="16"/>
  <c r="O317" i="16"/>
  <c r="G317" i="16"/>
  <c r="W296" i="16"/>
  <c r="O296" i="16"/>
  <c r="G296" i="16"/>
  <c r="W275" i="16"/>
  <c r="O275" i="16"/>
  <c r="G275" i="16"/>
  <c r="W254" i="16"/>
  <c r="O254" i="16"/>
  <c r="G254" i="16"/>
  <c r="W233" i="16"/>
  <c r="O233" i="16"/>
  <c r="G233" i="16"/>
  <c r="L81" i="16"/>
  <c r="S81" i="16" s="1"/>
  <c r="K81" i="16"/>
  <c r="R81" i="16" s="1"/>
  <c r="I79" i="16"/>
  <c r="P79" i="16" s="1"/>
  <c r="W358" i="16"/>
  <c r="O358" i="16"/>
  <c r="G358" i="16"/>
  <c r="W337" i="16"/>
  <c r="O337" i="16"/>
  <c r="G337" i="16"/>
  <c r="W316" i="16"/>
  <c r="O316" i="16"/>
  <c r="G316" i="16"/>
  <c r="W295" i="16"/>
  <c r="O295" i="16"/>
  <c r="G295" i="16"/>
  <c r="W274" i="16"/>
  <c r="O274" i="16"/>
  <c r="G274" i="16"/>
  <c r="W253" i="16"/>
  <c r="O253" i="16"/>
  <c r="G253" i="16"/>
  <c r="W232" i="16"/>
  <c r="O232" i="16"/>
  <c r="G232" i="16"/>
  <c r="S70" i="16"/>
  <c r="K70" i="16"/>
  <c r="R70" i="16" s="1"/>
  <c r="I68" i="16"/>
  <c r="P68" i="16" s="1"/>
  <c r="W357" i="16"/>
  <c r="O357" i="16"/>
  <c r="G357" i="16"/>
  <c r="W336" i="16"/>
  <c r="O336" i="16"/>
  <c r="G336" i="16"/>
  <c r="W315" i="16"/>
  <c r="O315" i="16"/>
  <c r="G315" i="16"/>
  <c r="W294" i="16"/>
  <c r="O294" i="16"/>
  <c r="G294" i="16"/>
  <c r="W273" i="16"/>
  <c r="O273" i="16"/>
  <c r="G273" i="16"/>
  <c r="W252" i="16"/>
  <c r="O252" i="16"/>
  <c r="G252" i="16"/>
  <c r="W231" i="16"/>
  <c r="O231" i="16"/>
  <c r="G231" i="16"/>
  <c r="L59" i="16"/>
  <c r="S59" i="16" s="1"/>
  <c r="K59" i="16"/>
  <c r="R59" i="16" s="1"/>
  <c r="I57" i="16"/>
  <c r="P57" i="16" s="1"/>
  <c r="W356" i="16"/>
  <c r="O356" i="16"/>
  <c r="G356" i="16"/>
  <c r="W335" i="16"/>
  <c r="O335" i="16"/>
  <c r="G335" i="16"/>
  <c r="W314" i="16"/>
  <c r="O314" i="16"/>
  <c r="G314" i="16"/>
  <c r="W293" i="16"/>
  <c r="O293" i="16"/>
  <c r="G293" i="16"/>
  <c r="W272" i="16"/>
  <c r="O272" i="16"/>
  <c r="G272" i="16"/>
  <c r="W251" i="16"/>
  <c r="O251" i="16"/>
  <c r="G251" i="16"/>
  <c r="W230" i="16"/>
  <c r="O230" i="16"/>
  <c r="G230" i="16"/>
  <c r="S48" i="16"/>
  <c r="K48" i="16"/>
  <c r="R48" i="16" s="1"/>
  <c r="I46" i="16"/>
  <c r="P46" i="16" s="1"/>
  <c r="W355" i="16"/>
  <c r="N44" i="16"/>
  <c r="O355" i="16" s="1"/>
  <c r="G355" i="16"/>
  <c r="W334" i="16"/>
  <c r="N43" i="16"/>
  <c r="O334" i="16" s="1"/>
  <c r="G334" i="16"/>
  <c r="W313" i="16"/>
  <c r="N42" i="16"/>
  <c r="O313" i="16" s="1"/>
  <c r="G313" i="16"/>
  <c r="W292" i="16"/>
  <c r="N41" i="16"/>
  <c r="O292" i="16" s="1"/>
  <c r="G292" i="16"/>
  <c r="W271" i="16"/>
  <c r="N40" i="16"/>
  <c r="O271" i="16" s="1"/>
  <c r="G271" i="16"/>
  <c r="W250" i="16"/>
  <c r="N39" i="16"/>
  <c r="O250" i="16" s="1"/>
  <c r="G250" i="16"/>
  <c r="W229" i="16"/>
  <c r="O229" i="16"/>
  <c r="G229" i="16"/>
  <c r="L37" i="16"/>
  <c r="S37" i="16" s="1"/>
  <c r="K37" i="16"/>
  <c r="R37" i="16" s="1"/>
  <c r="I35" i="16"/>
  <c r="P35" i="16" s="1"/>
  <c r="W354" i="16"/>
  <c r="O354" i="16"/>
  <c r="G354" i="16"/>
  <c r="W333" i="16"/>
  <c r="O333" i="16"/>
  <c r="G333" i="16"/>
  <c r="W312" i="16"/>
  <c r="O312" i="16"/>
  <c r="G312" i="16"/>
  <c r="W291" i="16"/>
  <c r="O291" i="16"/>
  <c r="G291" i="16"/>
  <c r="W270" i="16"/>
  <c r="O270" i="16"/>
  <c r="G270" i="16"/>
  <c r="W249" i="16"/>
  <c r="O249" i="16"/>
  <c r="G249" i="16"/>
  <c r="W228" i="16"/>
  <c r="O228" i="16"/>
  <c r="G228" i="16"/>
  <c r="L26" i="16"/>
  <c r="S26" i="16" s="1"/>
  <c r="K26" i="16"/>
  <c r="R26" i="16" s="1"/>
  <c r="I24" i="16"/>
  <c r="P24" i="16" s="1"/>
  <c r="W353" i="16"/>
  <c r="O353" i="16"/>
  <c r="G353" i="16"/>
  <c r="W332" i="16"/>
  <c r="O332" i="16"/>
  <c r="G332" i="16"/>
  <c r="W311" i="16"/>
  <c r="G311" i="16"/>
  <c r="W290" i="16"/>
  <c r="O290" i="16"/>
  <c r="G290" i="16"/>
  <c r="W269" i="16"/>
  <c r="O269" i="16"/>
  <c r="G269" i="16"/>
  <c r="W248" i="16"/>
  <c r="O248" i="16"/>
  <c r="G248" i="16"/>
  <c r="W227" i="16"/>
  <c r="O227" i="16"/>
  <c r="G227" i="16"/>
  <c r="L15" i="16"/>
  <c r="S15" i="16" s="1"/>
  <c r="K15" i="16"/>
  <c r="R15" i="16" s="1"/>
  <c r="I13" i="16"/>
  <c r="P13" i="16" s="1"/>
  <c r="W352" i="16"/>
  <c r="O352" i="16"/>
  <c r="G352" i="16"/>
  <c r="W331" i="16"/>
  <c r="O331" i="16"/>
  <c r="G331" i="16"/>
  <c r="W310" i="16"/>
  <c r="G310" i="16"/>
  <c r="W289" i="16"/>
  <c r="O289" i="16"/>
  <c r="G289" i="16"/>
  <c r="W268" i="16"/>
  <c r="O268" i="16"/>
  <c r="G268" i="16"/>
  <c r="W247" i="16"/>
  <c r="O247" i="16"/>
  <c r="G247" i="16"/>
  <c r="W226" i="16"/>
  <c r="O226" i="16"/>
  <c r="G226" i="16"/>
  <c r="L4" i="16"/>
  <c r="S4" i="16" s="1"/>
  <c r="K4" i="16"/>
  <c r="R4" i="16" s="1"/>
  <c r="I2" i="16"/>
  <c r="P2" i="16" s="1"/>
  <c r="H408" i="10" l="1"/>
  <c r="L411" i="10"/>
  <c r="L408" i="10"/>
  <c r="H411" i="10"/>
  <c r="C30" i="9"/>
  <c r="A409" i="10"/>
  <c r="C17" i="9"/>
  <c r="A408" i="10"/>
  <c r="J392" i="10"/>
  <c r="A458" i="10"/>
  <c r="C4" i="9"/>
  <c r="A407" i="10"/>
  <c r="C43" i="9"/>
  <c r="A410" i="10"/>
  <c r="AK86" i="10"/>
  <c r="AK96" i="10" s="1"/>
  <c r="B392" i="10"/>
  <c r="J452" i="10"/>
  <c r="AK35" i="10"/>
  <c r="AL86" i="10"/>
  <c r="AL35" i="10"/>
  <c r="I452" i="10"/>
  <c r="I444" i="10"/>
  <c r="AY86" i="10"/>
  <c r="Q331" i="10"/>
  <c r="Q296" i="10"/>
  <c r="AY35" i="10"/>
  <c r="AZ86" i="10"/>
  <c r="Q298" i="10"/>
  <c r="Q333" i="10"/>
  <c r="Q332" i="10"/>
  <c r="Q297" i="10"/>
  <c r="AZ35" i="10"/>
  <c r="Q299" i="10"/>
  <c r="Q334" i="10"/>
  <c r="I441" i="10"/>
  <c r="J441" i="10"/>
  <c r="O311" i="16"/>
  <c r="O310" i="16"/>
  <c r="G301" i="16"/>
  <c r="G302" i="16"/>
  <c r="O302" i="16"/>
  <c r="O281" i="16"/>
  <c r="G286" i="16"/>
  <c r="G285" i="16"/>
  <c r="A373" i="16"/>
  <c r="B373" i="16"/>
  <c r="D375" i="16" s="1"/>
  <c r="J375" i="16" s="1"/>
  <c r="P375" i="16" s="1"/>
  <c r="A460" i="10" l="1"/>
  <c r="B55" i="5" s="1"/>
  <c r="C394" i="10"/>
  <c r="K394" i="10" s="1"/>
  <c r="D394" i="10"/>
  <c r="L394" i="10" s="1"/>
  <c r="E381" i="16"/>
  <c r="D380" i="16"/>
  <c r="E380" i="16"/>
  <c r="D379" i="16"/>
  <c r="E379" i="16"/>
  <c r="D378" i="16"/>
  <c r="E378" i="16"/>
  <c r="D377" i="16"/>
  <c r="E377" i="16"/>
  <c r="D376" i="16"/>
  <c r="E376" i="16"/>
  <c r="D382" i="16"/>
  <c r="E382" i="16"/>
  <c r="D381" i="16"/>
  <c r="AR96" i="10"/>
  <c r="AR86" i="10"/>
  <c r="B394" i="10"/>
  <c r="J394" i="10" s="1"/>
  <c r="A392" i="10"/>
  <c r="N423" i="10"/>
  <c r="N458" i="10" s="1"/>
  <c r="B46" i="4" s="1"/>
  <c r="N460" i="10"/>
  <c r="N495" i="10" s="1"/>
  <c r="B46" i="5" s="1"/>
  <c r="N497" i="10"/>
  <c r="N532" i="10" s="1"/>
  <c r="B47" i="5" s="1"/>
  <c r="I392" i="10"/>
  <c r="AS35" i="10"/>
  <c r="AS45" i="10"/>
  <c r="AL45" i="10"/>
  <c r="AL96" i="10"/>
  <c r="AS86" i="10"/>
  <c r="AS96" i="10"/>
  <c r="AK45" i="10"/>
  <c r="AR35" i="10"/>
  <c r="AR45" i="10"/>
  <c r="BG96" i="10"/>
  <c r="AZ96" i="10"/>
  <c r="BG86" i="10"/>
  <c r="BF45" i="10"/>
  <c r="AY45" i="10"/>
  <c r="BF35" i="10"/>
  <c r="BG45" i="10"/>
  <c r="AZ45" i="10"/>
  <c r="BG35" i="10"/>
  <c r="BF86" i="10"/>
  <c r="BF96" i="10"/>
  <c r="AY96" i="10"/>
  <c r="C375" i="16"/>
  <c r="I375" i="16" s="1"/>
  <c r="O375" i="16" s="1"/>
  <c r="B375" i="16"/>
  <c r="H375" i="16" s="1"/>
  <c r="N375" i="16" s="1"/>
  <c r="H373" i="16"/>
  <c r="A380" i="16"/>
  <c r="A379" i="16"/>
  <c r="A378" i="16"/>
  <c r="A377" i="16"/>
  <c r="G373" i="16"/>
  <c r="C381" i="16"/>
  <c r="C376" i="16"/>
  <c r="B381" i="16"/>
  <c r="B376" i="16"/>
  <c r="A381" i="16"/>
  <c r="A376" i="16"/>
  <c r="S373" i="16"/>
  <c r="W377" i="16" s="1"/>
  <c r="C382" i="16"/>
  <c r="B382" i="16"/>
  <c r="C380" i="16"/>
  <c r="C379" i="16"/>
  <c r="C378" i="16"/>
  <c r="C377" i="16"/>
  <c r="B380" i="16"/>
  <c r="B378" i="16"/>
  <c r="B379" i="16"/>
  <c r="B377" i="16"/>
  <c r="A382" i="16"/>
  <c r="S386" i="16" l="1"/>
  <c r="U377" i="16" s="1"/>
  <c r="N396" i="10"/>
  <c r="L400" i="10"/>
  <c r="K398" i="10"/>
  <c r="J396" i="10"/>
  <c r="N395" i="10"/>
  <c r="L399" i="10"/>
  <c r="K397" i="10"/>
  <c r="J395" i="10"/>
  <c r="M400" i="10"/>
  <c r="L398" i="10"/>
  <c r="K396" i="10"/>
  <c r="K399" i="10"/>
  <c r="M399" i="10"/>
  <c r="L397" i="10"/>
  <c r="K395" i="10"/>
  <c r="N397" i="10"/>
  <c r="N400" i="10"/>
  <c r="M398" i="10"/>
  <c r="L396" i="10"/>
  <c r="J400" i="10"/>
  <c r="N399" i="10"/>
  <c r="M397" i="10"/>
  <c r="L395" i="10"/>
  <c r="J399" i="10"/>
  <c r="M395" i="10"/>
  <c r="N398" i="10"/>
  <c r="M396" i="10"/>
  <c r="K400" i="10"/>
  <c r="J398" i="10"/>
  <c r="J397" i="10"/>
  <c r="F399" i="10"/>
  <c r="E401" i="10"/>
  <c r="D403" i="10"/>
  <c r="D395" i="10"/>
  <c r="C397" i="10"/>
  <c r="F398" i="10"/>
  <c r="E400" i="10"/>
  <c r="D402" i="10"/>
  <c r="C404" i="10"/>
  <c r="C396" i="10"/>
  <c r="F397" i="10"/>
  <c r="E399" i="10"/>
  <c r="D401" i="10"/>
  <c r="C403" i="10"/>
  <c r="C395" i="10"/>
  <c r="F400" i="10"/>
  <c r="C398" i="10"/>
  <c r="F404" i="10"/>
  <c r="F396" i="10"/>
  <c r="E398" i="10"/>
  <c r="D400" i="10"/>
  <c r="C402" i="10"/>
  <c r="D396" i="10"/>
  <c r="F403" i="10"/>
  <c r="F395" i="10"/>
  <c r="E397" i="10"/>
  <c r="D399" i="10"/>
  <c r="C401" i="10"/>
  <c r="E402" i="10"/>
  <c r="F402" i="10"/>
  <c r="E404" i="10"/>
  <c r="E396" i="10"/>
  <c r="D398" i="10"/>
  <c r="C400" i="10"/>
  <c r="F401" i="10"/>
  <c r="E403" i="10"/>
  <c r="E395" i="10"/>
  <c r="D397" i="10"/>
  <c r="C399" i="10"/>
  <c r="D404" i="10"/>
  <c r="K382" i="16"/>
  <c r="J381" i="16"/>
  <c r="K381" i="16"/>
  <c r="J380" i="16"/>
  <c r="K380" i="16"/>
  <c r="J379" i="16"/>
  <c r="K379" i="16"/>
  <c r="J378" i="16"/>
  <c r="K378" i="16"/>
  <c r="J377" i="16"/>
  <c r="K377" i="16"/>
  <c r="J376" i="16"/>
  <c r="K376" i="16"/>
  <c r="J382" i="16"/>
  <c r="I400" i="10"/>
  <c r="A404" i="10"/>
  <c r="B404" i="10"/>
  <c r="A396" i="10"/>
  <c r="B403" i="10"/>
  <c r="B401" i="10"/>
  <c r="B399" i="10"/>
  <c r="B397" i="10"/>
  <c r="A395" i="10"/>
  <c r="A401" i="10"/>
  <c r="B400" i="10"/>
  <c r="A402" i="10"/>
  <c r="B395" i="10"/>
  <c r="A398" i="10"/>
  <c r="B398" i="10"/>
  <c r="A400" i="10"/>
  <c r="A403" i="10"/>
  <c r="A397" i="10"/>
  <c r="B402" i="10"/>
  <c r="A399" i="10"/>
  <c r="B396" i="10"/>
  <c r="I396" i="10"/>
  <c r="I397" i="10"/>
  <c r="I399" i="10"/>
  <c r="I398" i="10"/>
  <c r="I395" i="10"/>
  <c r="G381" i="16"/>
  <c r="G376" i="16"/>
  <c r="I382" i="16"/>
  <c r="H382" i="16"/>
  <c r="I380" i="16"/>
  <c r="I379" i="16"/>
  <c r="I378" i="16"/>
  <c r="I377" i="16"/>
  <c r="G382" i="16"/>
  <c r="H380" i="16"/>
  <c r="H379" i="16"/>
  <c r="H378" i="16"/>
  <c r="H377" i="16"/>
  <c r="G380" i="16"/>
  <c r="G379" i="16"/>
  <c r="G378" i="16"/>
  <c r="G377" i="16"/>
  <c r="I381" i="16"/>
  <c r="I376" i="16"/>
  <c r="M373" i="16"/>
  <c r="H376" i="16"/>
  <c r="H381" i="16"/>
  <c r="T373" i="16"/>
  <c r="N373" i="16"/>
  <c r="W379" i="16"/>
  <c r="O392" i="16" s="1"/>
  <c r="W378" i="16"/>
  <c r="O390" i="16"/>
  <c r="K412" i="10" l="1"/>
  <c r="M407" i="10"/>
  <c r="I407" i="10"/>
  <c r="K410" i="10"/>
  <c r="K409" i="10"/>
  <c r="I412" i="10"/>
  <c r="O412" i="10"/>
  <c r="K407" i="10"/>
  <c r="M410" i="10"/>
  <c r="I410" i="10"/>
  <c r="O410" i="10"/>
  <c r="M409" i="10"/>
  <c r="M412" i="10"/>
  <c r="O409" i="10"/>
  <c r="O407" i="10"/>
  <c r="I409" i="10"/>
  <c r="B408" i="10"/>
  <c r="B407" i="10"/>
  <c r="B409" i="10"/>
  <c r="B413" i="10"/>
  <c r="C420" i="10" s="1"/>
  <c r="D413" i="10" s="1"/>
  <c r="T386" i="16"/>
  <c r="U378" i="16" s="1"/>
  <c r="O391" i="16"/>
  <c r="P382" i="16"/>
  <c r="Q382" i="16"/>
  <c r="P381" i="16"/>
  <c r="Q381" i="16"/>
  <c r="P380" i="16"/>
  <c r="Q380" i="16"/>
  <c r="P379" i="16"/>
  <c r="Q379" i="16"/>
  <c r="P378" i="16"/>
  <c r="Q378" i="16"/>
  <c r="P377" i="16"/>
  <c r="Q377" i="16"/>
  <c r="P376" i="16"/>
  <c r="Q376" i="16"/>
  <c r="M380" i="16"/>
  <c r="M379" i="16"/>
  <c r="M378" i="16"/>
  <c r="M377" i="16"/>
  <c r="O381" i="16"/>
  <c r="O376" i="16"/>
  <c r="N381" i="16"/>
  <c r="N376" i="16"/>
  <c r="M381" i="16"/>
  <c r="M376" i="16"/>
  <c r="O382" i="16"/>
  <c r="N382" i="16"/>
  <c r="O380" i="16"/>
  <c r="O379" i="16"/>
  <c r="O378" i="16"/>
  <c r="O377" i="16"/>
  <c r="N379" i="16"/>
  <c r="N377" i="16"/>
  <c r="M382" i="16"/>
  <c r="N380" i="16"/>
  <c r="N378" i="16"/>
  <c r="J408" i="10" l="1"/>
  <c r="C416" i="10" s="1"/>
  <c r="G416" i="10" s="1"/>
  <c r="G33" i="4" s="1"/>
  <c r="J411" i="10"/>
  <c r="C417" i="10" s="1"/>
  <c r="C408" i="10" s="1"/>
  <c r="N408" i="10"/>
  <c r="C418" i="10" s="1"/>
  <c r="N411" i="10"/>
  <c r="C419" i="10" s="1"/>
  <c r="B410" i="10"/>
  <c r="E419" i="10" s="1"/>
  <c r="F419" i="10" s="1"/>
  <c r="C413" i="10"/>
  <c r="U386" i="16"/>
  <c r="U379" i="16" s="1"/>
  <c r="K420" i="10"/>
  <c r="E413" i="10"/>
  <c r="K27" i="4"/>
  <c r="I28" i="1" s="1"/>
  <c r="N391" i="16"/>
  <c r="T382" i="16" s="1"/>
  <c r="N390" i="16"/>
  <c r="T381" i="16" s="1"/>
  <c r="K26" i="4" l="1"/>
  <c r="I27" i="1" s="1"/>
  <c r="H27" i="1"/>
  <c r="D408" i="10"/>
  <c r="U403" i="10"/>
  <c r="U411" i="10"/>
  <c r="U400" i="10"/>
  <c r="U408" i="10"/>
  <c r="E418" i="10"/>
  <c r="F418" i="10" s="1"/>
  <c r="Q403" i="10"/>
  <c r="Q411" i="10"/>
  <c r="D409" i="10"/>
  <c r="G417" i="10"/>
  <c r="G34" i="4" s="1"/>
  <c r="C409" i="10"/>
  <c r="Q400" i="10"/>
  <c r="C407" i="10"/>
  <c r="Q408" i="10"/>
  <c r="D407" i="10"/>
  <c r="M420" i="10"/>
  <c r="C410" i="10"/>
  <c r="D410" i="10"/>
  <c r="D39" i="4"/>
  <c r="N39" i="4" s="1"/>
  <c r="K28" i="4"/>
  <c r="I29" i="1" s="1"/>
  <c r="N392" i="16"/>
  <c r="T383" i="16" s="1"/>
  <c r="E417" i="10"/>
  <c r="F417" i="10" s="1"/>
  <c r="F33" i="4"/>
  <c r="F34" i="4"/>
  <c r="E416" i="10"/>
  <c r="F416" i="10" s="1"/>
  <c r="F36" i="4"/>
  <c r="G419" i="10"/>
  <c r="G36" i="4" s="1"/>
  <c r="F35" i="4"/>
  <c r="G418" i="10"/>
  <c r="G35" i="4" s="1"/>
  <c r="H416" i="10"/>
  <c r="H417" i="10" l="1"/>
  <c r="T410" i="10"/>
  <c r="T412" i="10"/>
  <c r="R412" i="10"/>
  <c r="R410" i="10"/>
  <c r="T404" i="10"/>
  <c r="R402" i="10"/>
  <c r="T402" i="10"/>
  <c r="R404" i="10"/>
  <c r="R407" i="10"/>
  <c r="T407" i="10"/>
  <c r="T409" i="10"/>
  <c r="R409" i="10"/>
  <c r="X409" i="10"/>
  <c r="V409" i="10"/>
  <c r="X407" i="10"/>
  <c r="V407" i="10"/>
  <c r="T401" i="10"/>
  <c r="R399" i="10"/>
  <c r="R401" i="10"/>
  <c r="T399" i="10"/>
  <c r="X401" i="10"/>
  <c r="V399" i="10"/>
  <c r="X399" i="10"/>
  <c r="V401" i="10"/>
  <c r="V412" i="10"/>
  <c r="X412" i="10"/>
  <c r="X410" i="10"/>
  <c r="V410" i="10"/>
  <c r="X402" i="10"/>
  <c r="V404" i="10"/>
  <c r="X404" i="10"/>
  <c r="V402" i="10"/>
  <c r="Q23" i="4"/>
  <c r="H419" i="10"/>
  <c r="H418" i="10"/>
  <c r="S411" i="10" l="1"/>
  <c r="M417" i="10" s="1"/>
  <c r="S408" i="10"/>
  <c r="M416" i="10" s="1"/>
  <c r="W400" i="10"/>
  <c r="K418" i="10" s="1"/>
  <c r="W411" i="10"/>
  <c r="M419" i="10" s="1"/>
  <c r="S403" i="10"/>
  <c r="K417" i="10" s="1"/>
  <c r="S400" i="10"/>
  <c r="E407" i="10" s="1"/>
  <c r="W403" i="10"/>
  <c r="E410" i="10" s="1"/>
  <c r="W408" i="10"/>
  <c r="M418" i="10" s="1"/>
  <c r="B49" i="4"/>
  <c r="B50" i="1" s="1"/>
  <c r="E409" i="10" l="1"/>
  <c r="K416" i="10"/>
  <c r="D9" i="9" s="1"/>
  <c r="E408" i="10"/>
  <c r="K419" i="10"/>
  <c r="D48" i="9" s="1"/>
  <c r="D35" i="9"/>
  <c r="D22" i="9"/>
  <c r="D8" i="9"/>
  <c r="D47" i="9"/>
  <c r="D21" i="9"/>
  <c r="D34" i="9"/>
  <c r="B53" i="5"/>
  <c r="A53" i="5"/>
  <c r="A43" i="5"/>
  <c r="A4" i="17"/>
  <c r="A31" i="5"/>
  <c r="B25" i="5"/>
  <c r="A25" i="5"/>
  <c r="I71" i="1" l="1"/>
  <c r="W67" i="9" l="1"/>
  <c r="S61" i="9"/>
  <c r="U61" i="9" s="1"/>
  <c r="R61" i="9"/>
  <c r="N61" i="9"/>
  <c r="S60" i="9"/>
  <c r="U60" i="9" s="1"/>
  <c r="V60" i="9" s="1"/>
  <c r="R60" i="9"/>
  <c r="N60" i="9"/>
  <c r="S59" i="9"/>
  <c r="U59" i="9" s="1"/>
  <c r="R59" i="9"/>
  <c r="N59" i="9"/>
  <c r="S58" i="9"/>
  <c r="U58" i="9" s="1"/>
  <c r="V58" i="9" s="1"/>
  <c r="N58" i="9"/>
  <c r="S48" i="9"/>
  <c r="U48" i="9" s="1"/>
  <c r="R48" i="9"/>
  <c r="S47" i="9"/>
  <c r="U47" i="9" s="1"/>
  <c r="V47" i="9" s="1"/>
  <c r="R47" i="9"/>
  <c r="S46" i="9"/>
  <c r="U46" i="9" s="1"/>
  <c r="R46" i="9"/>
  <c r="S45" i="9"/>
  <c r="U45" i="9" s="1"/>
  <c r="V45" i="9" s="1"/>
  <c r="S35" i="9"/>
  <c r="U35" i="9" s="1"/>
  <c r="R35" i="9"/>
  <c r="S34" i="9"/>
  <c r="U34" i="9" s="1"/>
  <c r="V34" i="9" s="1"/>
  <c r="R34" i="9"/>
  <c r="S33" i="9"/>
  <c r="U33" i="9" s="1"/>
  <c r="R33" i="9"/>
  <c r="S32" i="9"/>
  <c r="U32" i="9" s="1"/>
  <c r="P30" i="9"/>
  <c r="N32" i="9" s="1"/>
  <c r="M30" i="9"/>
  <c r="S22" i="9"/>
  <c r="U22" i="9" s="1"/>
  <c r="V22" i="9" s="1"/>
  <c r="R22" i="9"/>
  <c r="S21" i="9"/>
  <c r="U21" i="9" s="1"/>
  <c r="R21" i="9"/>
  <c r="S20" i="9"/>
  <c r="U20" i="9" s="1"/>
  <c r="V20" i="9" s="1"/>
  <c r="R20" i="9"/>
  <c r="S19" i="9"/>
  <c r="U19" i="9" s="1"/>
  <c r="P17" i="9"/>
  <c r="N21" i="9" s="1"/>
  <c r="M17" i="9"/>
  <c r="M43" i="9" s="1"/>
  <c r="W15" i="9"/>
  <c r="S9" i="9"/>
  <c r="U9" i="9" s="1"/>
  <c r="V9" i="9" s="1"/>
  <c r="R9" i="9"/>
  <c r="N9" i="9"/>
  <c r="S8" i="9"/>
  <c r="U8" i="9" s="1"/>
  <c r="R8" i="9"/>
  <c r="N8" i="9"/>
  <c r="S7" i="9"/>
  <c r="U7" i="9" s="1"/>
  <c r="R7" i="9"/>
  <c r="N7" i="9"/>
  <c r="S6" i="9"/>
  <c r="U6" i="9" s="1"/>
  <c r="N6" i="9"/>
  <c r="Z41" i="5"/>
  <c r="Y41" i="5"/>
  <c r="AA37" i="5"/>
  <c r="Z37" i="5"/>
  <c r="Y37" i="5"/>
  <c r="AA36" i="5"/>
  <c r="Z36" i="5"/>
  <c r="Y36" i="5"/>
  <c r="AA35" i="5"/>
  <c r="Z35" i="5"/>
  <c r="Y35" i="5"/>
  <c r="AA34" i="5"/>
  <c r="Z34" i="5"/>
  <c r="Y34" i="5"/>
  <c r="N19" i="9" l="1"/>
  <c r="W28" i="9"/>
  <c r="N22" i="9"/>
  <c r="W32" i="9"/>
  <c r="V32" i="9"/>
  <c r="W9" i="9"/>
  <c r="N20" i="9"/>
  <c r="W34" i="9"/>
  <c r="P43" i="9"/>
  <c r="W54" i="9" s="1"/>
  <c r="W7" i="9"/>
  <c r="V7" i="9"/>
  <c r="W35" i="9"/>
  <c r="V35" i="9"/>
  <c r="W33" i="9"/>
  <c r="V33" i="9"/>
  <c r="V46" i="9"/>
  <c r="W46" i="9"/>
  <c r="V61" i="9"/>
  <c r="W61" i="9"/>
  <c r="V21" i="9"/>
  <c r="W21" i="9"/>
  <c r="W6" i="9"/>
  <c r="V6" i="9"/>
  <c r="V19" i="9"/>
  <c r="W19" i="9"/>
  <c r="W8" i="9"/>
  <c r="V8" i="9"/>
  <c r="V48" i="9"/>
  <c r="W48" i="9"/>
  <c r="V59" i="9"/>
  <c r="V63" i="9" s="1"/>
  <c r="V64" i="9" s="1"/>
  <c r="W59" i="9"/>
  <c r="N34" i="9"/>
  <c r="W20" i="9"/>
  <c r="W22" i="9"/>
  <c r="N33" i="9"/>
  <c r="N35" i="9"/>
  <c r="W41" i="9"/>
  <c r="W45" i="9"/>
  <c r="W47" i="9"/>
  <c r="W58" i="9"/>
  <c r="W60" i="9"/>
  <c r="N48" i="9" l="1"/>
  <c r="N47" i="9"/>
  <c r="N45" i="9"/>
  <c r="N46" i="9"/>
  <c r="V50" i="9"/>
  <c r="V51" i="9" s="1"/>
  <c r="W37" i="9"/>
  <c r="W63" i="9"/>
  <c r="V65" i="9" s="1"/>
  <c r="V66" i="9" s="1"/>
  <c r="V67" i="9" s="1"/>
  <c r="V37" i="9"/>
  <c r="V38" i="9" s="1"/>
  <c r="V24" i="9"/>
  <c r="V25" i="9" s="1"/>
  <c r="W11" i="9"/>
  <c r="W24" i="9"/>
  <c r="W50" i="9"/>
  <c r="V11" i="9"/>
  <c r="V12" i="9" s="1"/>
  <c r="V39" i="9" l="1"/>
  <c r="V40" i="9" s="1"/>
  <c r="V41" i="9" s="1"/>
  <c r="V52" i="9"/>
  <c r="V53" i="9" s="1"/>
  <c r="V54" i="9" s="1"/>
  <c r="V13" i="9"/>
  <c r="V14" i="9" s="1"/>
  <c r="V15" i="9" s="1"/>
  <c r="V26" i="9"/>
  <c r="V27" i="9" s="1"/>
  <c r="V28" i="9" s="1"/>
  <c r="B54" i="4" l="1"/>
  <c r="E22" i="4" l="1"/>
  <c r="N22" i="4" s="1"/>
  <c r="B27" i="1" l="1"/>
  <c r="D37" i="1" l="1"/>
  <c r="C27" i="4"/>
  <c r="V29" i="4" s="1"/>
  <c r="L28" i="5" s="1"/>
  <c r="C28" i="4"/>
  <c r="O26" i="4"/>
  <c r="E9" i="4"/>
  <c r="E10" i="1" s="1"/>
  <c r="D18" i="23" s="1"/>
  <c r="D9" i="4"/>
  <c r="D10" i="1" s="1"/>
  <c r="A9" i="4"/>
  <c r="A10" i="1" s="1"/>
  <c r="C26" i="4"/>
  <c r="C27" i="1" s="1"/>
  <c r="L27" i="4" l="1"/>
  <c r="J28" i="1" s="1"/>
  <c r="V31" i="4"/>
  <c r="L29" i="5" s="1"/>
  <c r="L28" i="4" s="1"/>
  <c r="J29" i="1" s="1"/>
  <c r="C28" i="1"/>
  <c r="C29" i="1"/>
  <c r="F48" i="9"/>
  <c r="F47" i="9"/>
  <c r="E47" i="9"/>
  <c r="F46" i="9"/>
  <c r="E46" i="9"/>
  <c r="E45" i="9"/>
  <c r="R31" i="4" l="1"/>
  <c r="G45" i="9"/>
  <c r="I45" i="9" s="1"/>
  <c r="J45" i="9" s="1"/>
  <c r="D58" i="9"/>
  <c r="O43" i="9"/>
  <c r="K45" i="9" l="1"/>
  <c r="F61" i="9" l="1"/>
  <c r="F60" i="9"/>
  <c r="F59" i="9"/>
  <c r="F35" i="9"/>
  <c r="F34" i="9"/>
  <c r="F33" i="9"/>
  <c r="F22" i="9"/>
  <c r="F21" i="9"/>
  <c r="F20" i="9"/>
  <c r="F8" i="9"/>
  <c r="F9" i="9"/>
  <c r="F7" i="9"/>
  <c r="B47" i="4" l="1"/>
  <c r="D19" i="1" l="1"/>
  <c r="B18" i="4"/>
  <c r="B19" i="1" s="1"/>
  <c r="O27" i="4"/>
  <c r="B28" i="4"/>
  <c r="B29" i="1" s="1"/>
  <c r="B27" i="4"/>
  <c r="B28" i="1" s="1"/>
  <c r="W23" i="4" l="1"/>
  <c r="B50" i="5" s="1"/>
  <c r="Q31" i="4"/>
  <c r="O28" i="4" s="1"/>
  <c r="N26" i="4" s="1"/>
  <c r="E13" i="4"/>
  <c r="B48" i="4" l="1"/>
  <c r="B49" i="1" s="1"/>
  <c r="G64" i="4"/>
  <c r="E8" i="1" l="1"/>
  <c r="D7" i="4"/>
  <c r="D8" i="1" s="1"/>
  <c r="A7" i="4"/>
  <c r="A8" i="1" s="1"/>
  <c r="D59" i="9" l="1"/>
  <c r="G46" i="9"/>
  <c r="I46" i="9" s="1"/>
  <c r="C39" i="5"/>
  <c r="B39" i="5"/>
  <c r="J46" i="9" l="1"/>
  <c r="K46" i="9"/>
  <c r="A56" i="9" l="1"/>
  <c r="M56" i="9" s="1"/>
  <c r="E60" i="9"/>
  <c r="B60" i="9"/>
  <c r="E59" i="9"/>
  <c r="E58" i="9"/>
  <c r="B58" i="9"/>
  <c r="K67" i="9"/>
  <c r="O17" i="9"/>
  <c r="O30" i="9"/>
  <c r="O4" i="9"/>
  <c r="G58" i="9" l="1"/>
  <c r="I58" i="9" s="1"/>
  <c r="J58" i="9" s="1"/>
  <c r="G59" i="9"/>
  <c r="I59" i="9" s="1"/>
  <c r="K59" i="9" s="1"/>
  <c r="B59" i="9"/>
  <c r="B61" i="9"/>
  <c r="K58" i="9" l="1"/>
  <c r="J59" i="9"/>
  <c r="B43" i="4" l="1"/>
  <c r="B44" i="1" s="1"/>
  <c r="B45" i="4"/>
  <c r="B46" i="1" l="1"/>
  <c r="B44" i="4"/>
  <c r="B47" i="1"/>
  <c r="B45" i="1" l="1"/>
  <c r="F37" i="1"/>
  <c r="F36" i="1"/>
  <c r="F35" i="1"/>
  <c r="G48" i="9" l="1"/>
  <c r="I48" i="9" s="1"/>
  <c r="J48" i="9" s="1"/>
  <c r="G36" i="1"/>
  <c r="G37" i="1"/>
  <c r="G35" i="1"/>
  <c r="G47" i="9"/>
  <c r="I47" i="9" s="1"/>
  <c r="J47" i="9" s="1"/>
  <c r="E32" i="9"/>
  <c r="E19" i="9"/>
  <c r="E6" i="9"/>
  <c r="J50" i="9" l="1"/>
  <c r="J51" i="9" s="1"/>
  <c r="K48" i="9"/>
  <c r="K47" i="9"/>
  <c r="H28" i="1"/>
  <c r="D23" i="1"/>
  <c r="D22" i="1"/>
  <c r="D18" i="1"/>
  <c r="D17" i="1"/>
  <c r="B22" i="4"/>
  <c r="B23" i="1" s="1"/>
  <c r="B21" i="4"/>
  <c r="B22" i="1" s="1"/>
  <c r="B17" i="4"/>
  <c r="B18" i="1" s="1"/>
  <c r="B16" i="4"/>
  <c r="B17" i="1" s="1"/>
  <c r="E14" i="1"/>
  <c r="D23" i="23" s="1"/>
  <c r="D14" i="1"/>
  <c r="A14" i="1"/>
  <c r="B48" i="1"/>
  <c r="B42" i="4"/>
  <c r="B43" i="1" s="1"/>
  <c r="B52" i="4"/>
  <c r="B53" i="4"/>
  <c r="B61" i="4"/>
  <c r="B60" i="4"/>
  <c r="A60" i="4"/>
  <c r="A60" i="1" s="1"/>
  <c r="B56" i="4"/>
  <c r="A56" i="4"/>
  <c r="A56" i="1" s="1"/>
  <c r="B51" i="4"/>
  <c r="A51" i="4"/>
  <c r="A52" i="1" s="1"/>
  <c r="B41" i="4"/>
  <c r="B42" i="1" s="1"/>
  <c r="A41" i="4"/>
  <c r="A42" i="1" s="1"/>
  <c r="B30" i="4"/>
  <c r="A30" i="4"/>
  <c r="A31" i="1" s="1"/>
  <c r="B24" i="4"/>
  <c r="B20" i="4"/>
  <c r="B21" i="1" s="1"/>
  <c r="A24" i="4"/>
  <c r="A25" i="1" s="1"/>
  <c r="A20" i="4"/>
  <c r="A21" i="1" s="1"/>
  <c r="B15" i="4"/>
  <c r="B16" i="1" s="1"/>
  <c r="A15" i="4"/>
  <c r="A16" i="1" s="1"/>
  <c r="E23" i="1"/>
  <c r="E21" i="4"/>
  <c r="E5" i="4"/>
  <c r="E6" i="4"/>
  <c r="D10" i="23" s="1"/>
  <c r="E10" i="4"/>
  <c r="E11" i="1" s="1"/>
  <c r="D19" i="23" s="1"/>
  <c r="B54" i="23" s="1"/>
  <c r="B55" i="23" s="1"/>
  <c r="E11" i="4"/>
  <c r="E12" i="4"/>
  <c r="D17" i="23" s="1"/>
  <c r="E4" i="4"/>
  <c r="D5" i="4"/>
  <c r="D6" i="1" s="1"/>
  <c r="D6" i="4"/>
  <c r="D7" i="1" s="1"/>
  <c r="D10" i="4"/>
  <c r="D11" i="1" s="1"/>
  <c r="D11" i="4"/>
  <c r="D12" i="1" s="1"/>
  <c r="D12" i="4"/>
  <c r="D13" i="1" s="1"/>
  <c r="D4" i="4"/>
  <c r="D5" i="1" s="1"/>
  <c r="A5" i="4"/>
  <c r="A6" i="1" s="1"/>
  <c r="A6" i="4"/>
  <c r="A7" i="1" s="1"/>
  <c r="A10" i="4"/>
  <c r="A11" i="1" s="1"/>
  <c r="A11" i="4"/>
  <c r="A12" i="1" s="1"/>
  <c r="A12" i="4"/>
  <c r="A13" i="1" s="1"/>
  <c r="A4" i="4"/>
  <c r="A5" i="1" s="1"/>
  <c r="B59" i="23" l="1"/>
  <c r="B58" i="23"/>
  <c r="B57" i="23" s="1"/>
  <c r="D22" i="23" s="1"/>
  <c r="B54" i="1"/>
  <c r="K50" i="9"/>
  <c r="J52" i="9" s="1"/>
  <c r="J53" i="9" s="1"/>
  <c r="J54" i="9" s="1"/>
  <c r="R419" i="10" s="1"/>
  <c r="B53" i="1"/>
  <c r="E22" i="1"/>
  <c r="N21" i="4"/>
  <c r="B31" i="1"/>
  <c r="B52" i="1"/>
  <c r="B60" i="1"/>
  <c r="B61" i="1"/>
  <c r="D20" i="23" s="1"/>
  <c r="B25" i="1"/>
  <c r="B56" i="1"/>
  <c r="B9" i="9"/>
  <c r="B8" i="9"/>
  <c r="B7" i="9"/>
  <c r="B6" i="9"/>
  <c r="K15" i="9"/>
  <c r="D30" i="9"/>
  <c r="B32" i="9" s="1"/>
  <c r="A30" i="9"/>
  <c r="D17" i="9"/>
  <c r="A17" i="9"/>
  <c r="A43" i="9" s="1"/>
  <c r="E34" i="9"/>
  <c r="E33" i="9"/>
  <c r="E21" i="9"/>
  <c r="E20" i="9"/>
  <c r="E8" i="9"/>
  <c r="E7" i="9"/>
  <c r="I419" i="10" l="1"/>
  <c r="J419" i="10" s="1"/>
  <c r="M36" i="4" s="1"/>
  <c r="B19" i="9"/>
  <c r="D43" i="9"/>
  <c r="G7" i="9"/>
  <c r="I7" i="9" s="1"/>
  <c r="J7" i="9" s="1"/>
  <c r="G20" i="9"/>
  <c r="I20" i="9" s="1"/>
  <c r="K20" i="9" s="1"/>
  <c r="G32" i="9"/>
  <c r="I32" i="9" s="1"/>
  <c r="J32" i="9" s="1"/>
  <c r="B34" i="9"/>
  <c r="B33" i="9"/>
  <c r="K41" i="9"/>
  <c r="G19" i="9"/>
  <c r="I19" i="9" s="1"/>
  <c r="J19" i="9" s="1"/>
  <c r="G33" i="9"/>
  <c r="I33" i="9" s="1"/>
  <c r="J33" i="9" s="1"/>
  <c r="K28" i="9"/>
  <c r="B20" i="9"/>
  <c r="B21" i="9"/>
  <c r="B22" i="9"/>
  <c r="B35" i="9"/>
  <c r="G6" i="9"/>
  <c r="I6" i="9" s="1"/>
  <c r="K6" i="9" s="1"/>
  <c r="A1" i="1"/>
  <c r="C39" i="4"/>
  <c r="C40" i="1" s="1"/>
  <c r="D36" i="1"/>
  <c r="D35" i="1"/>
  <c r="D34" i="1"/>
  <c r="C33" i="4"/>
  <c r="C34" i="1" s="1"/>
  <c r="K54" i="9" l="1"/>
  <c r="B45" i="9"/>
  <c r="B48" i="9"/>
  <c r="B47" i="9"/>
  <c r="B46" i="9"/>
  <c r="K7" i="9"/>
  <c r="K33" i="9"/>
  <c r="J20" i="9"/>
  <c r="K32" i="9"/>
  <c r="K19" i="9"/>
  <c r="J6" i="9"/>
  <c r="G34" i="9" l="1"/>
  <c r="I34" i="9" s="1"/>
  <c r="J34" i="9" s="1"/>
  <c r="G35" i="9"/>
  <c r="I35" i="9" s="1"/>
  <c r="J35" i="9" l="1"/>
  <c r="J37" i="9" s="1"/>
  <c r="J38" i="9" s="1"/>
  <c r="K35" i="9"/>
  <c r="G21" i="9"/>
  <c r="I21" i="9" s="1"/>
  <c r="K34" i="9"/>
  <c r="K37" i="9" l="1"/>
  <c r="J39" i="9" s="1"/>
  <c r="J40" i="9" s="1"/>
  <c r="J41" i="9" s="1"/>
  <c r="R418" i="10" s="1"/>
  <c r="J21" i="9"/>
  <c r="K21" i="9"/>
  <c r="I418" i="10" l="1"/>
  <c r="J418" i="10" s="1"/>
  <c r="M35" i="4" s="1"/>
  <c r="G22" i="9" l="1"/>
  <c r="I22" i="9" s="1"/>
  <c r="J22" i="9" l="1"/>
  <c r="J24" i="9" s="1"/>
  <c r="J25" i="9" s="1"/>
  <c r="K22" i="9"/>
  <c r="K24" i="9" s="1"/>
  <c r="J26" i="9" l="1"/>
  <c r="J27" i="9" s="1"/>
  <c r="J28" i="9" s="1"/>
  <c r="R417" i="10" s="1"/>
  <c r="I417" i="10" l="1"/>
  <c r="J417" i="10" l="1"/>
  <c r="M34" i="4" s="1"/>
  <c r="N34" i="4" s="1"/>
  <c r="F34" i="1"/>
  <c r="D61" i="9" l="1"/>
  <c r="G61" i="9" s="1"/>
  <c r="I61" i="9" s="1"/>
  <c r="K61" i="9" s="1"/>
  <c r="G34" i="1"/>
  <c r="J61" i="9" l="1"/>
  <c r="G8" i="9"/>
  <c r="I8" i="9" s="1"/>
  <c r="J8" i="9" s="1"/>
  <c r="G9" i="9" l="1"/>
  <c r="I9" i="9" s="1"/>
  <c r="K9" i="9" s="1"/>
  <c r="K8" i="9"/>
  <c r="J9" i="9" l="1"/>
  <c r="J11" i="9" s="1"/>
  <c r="J12" i="9" s="1"/>
  <c r="K11" i="9"/>
  <c r="J13" i="9" l="1"/>
  <c r="J14" i="9" s="1"/>
  <c r="J15" i="9" s="1"/>
  <c r="R416" i="10" l="1"/>
  <c r="S416" i="10" s="1"/>
  <c r="T416" i="10" s="1"/>
  <c r="U416" i="10" s="1"/>
  <c r="I416" i="10"/>
  <c r="J33" i="4" l="1"/>
  <c r="U417" i="10"/>
  <c r="U419" i="10"/>
  <c r="U418" i="10"/>
  <c r="J416" i="10"/>
  <c r="M33" i="4" s="1"/>
  <c r="N33" i="4" s="1"/>
  <c r="D60" i="9"/>
  <c r="G60" i="9" s="1"/>
  <c r="I60" i="9" s="1"/>
  <c r="K60" i="9" s="1"/>
  <c r="K63" i="9" s="1"/>
  <c r="J34" i="1" l="1"/>
  <c r="I34" i="1" s="1"/>
  <c r="J35" i="4"/>
  <c r="J34" i="4"/>
  <c r="J36" i="4"/>
  <c r="J60" i="9"/>
  <c r="J63" i="9" s="1"/>
  <c r="J64" i="9" s="1"/>
  <c r="J65" i="9" s="1"/>
  <c r="J66" i="9" s="1"/>
  <c r="J67" i="9" s="1"/>
  <c r="J35" i="1" l="1"/>
  <c r="I35" i="1" s="1"/>
  <c r="J37" i="1"/>
  <c r="I37" i="1" s="1"/>
  <c r="J36" i="1"/>
  <c r="I36" i="1" s="1"/>
  <c r="C56" i="9"/>
  <c r="O56" i="9" s="1"/>
  <c r="B8" i="17" l="1"/>
  <c r="D8" i="23" l="1"/>
  <c r="C8" i="17"/>
  <c r="D8" i="17" s="1"/>
  <c r="E8" i="17" l="1"/>
  <c r="D9" i="23"/>
  <c r="G125" i="10"/>
  <c r="G133" i="10"/>
  <c r="N35" i="4" l="1"/>
  <c r="N36" i="4" l="1"/>
  <c r="O33" i="4" s="1"/>
  <c r="B7" i="17" s="1"/>
  <c r="C7" i="17" s="1"/>
  <c r="D7" i="17" l="1"/>
  <c r="A12" i="17" s="1"/>
  <c r="B12" i="17" s="1"/>
  <c r="E7" i="17"/>
  <c r="C12" i="17" l="1"/>
  <c r="R36" i="4" s="1"/>
  <c r="Q36" i="4" l="1"/>
  <c r="D21" i="23" l="1"/>
  <c r="J64" i="4"/>
  <c r="A533" i="10" l="1"/>
  <c r="A535" i="10" s="1"/>
  <c r="A538" i="10" s="1"/>
  <c r="F2" i="5" s="1"/>
  <c r="A2" i="4" s="1"/>
  <c r="A2" i="1" s="1"/>
  <c r="H1" i="23"/>
  <c r="A539" i="10" l="1"/>
  <c r="A541" i="10" s="1"/>
  <c r="A544" i="10" s="1"/>
  <c r="B59" i="5" s="1"/>
  <c r="B57" i="4" s="1"/>
  <c r="B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E9D6F3C7-1352-4D7D-BC34-30EBFE0078C7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<sst xmlns="http://schemas.openxmlformats.org/spreadsheetml/2006/main" count="3888" uniqueCount="571">
  <si>
    <t>Lembar Kerja Kalibrasi Infusion Pump</t>
  </si>
  <si>
    <t xml:space="preserve">Sertifikat / Surat Keterangan : 29 / ………. / ………. - ………. / E - ………..    </t>
  </si>
  <si>
    <t>Merek</t>
  </si>
  <si>
    <t xml:space="preserve">: </t>
  </si>
  <si>
    <t>Model/Tipe</t>
  </si>
  <si>
    <t>No. Seri</t>
  </si>
  <si>
    <t>Resolusi</t>
  </si>
  <si>
    <t>1. (….............................)</t>
  </si>
  <si>
    <t>ml/h</t>
  </si>
  <si>
    <t>2. (….............................)</t>
  </si>
  <si>
    <t>Tanggal Penerimaan Alat</t>
  </si>
  <si>
    <t>:</t>
  </si>
  <si>
    <t>Tanggal Kalibrasi</t>
  </si>
  <si>
    <t>Tempat Kalibrasi</t>
  </si>
  <si>
    <t xml:space="preserve">Nama Ruang </t>
  </si>
  <si>
    <t xml:space="preserve">I. </t>
  </si>
  <si>
    <t>Kondisi Ruang</t>
  </si>
  <si>
    <t>Awal</t>
  </si>
  <si>
    <t>Akhir</t>
  </si>
  <si>
    <t xml:space="preserve">1. Suhu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</si>
  <si>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</si>
  <si>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</si>
  <si>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%RH</t>
  </si>
  <si>
    <t>3. Tegangan Jala - jala</t>
  </si>
  <si>
    <t>Volt</t>
  </si>
  <si>
    <t>Score (%)</t>
  </si>
  <si>
    <t xml:space="preserve">II.     </t>
  </si>
  <si>
    <t>Pemeriksaan Kondisi Fisik dan Fungsi Alat</t>
  </si>
  <si>
    <t>1. Fisik</t>
  </si>
  <si>
    <t>: Baik / Tidak baik</t>
  </si>
  <si>
    <t>2. Fungsi</t>
  </si>
  <si>
    <t>III.</t>
  </si>
  <si>
    <t>Hasil Pengujian Keselamatan Listrik</t>
  </si>
  <si>
    <t xml:space="preserve">No. </t>
  </si>
  <si>
    <t>Parameter</t>
  </si>
  <si>
    <t>Hasil Ukur</t>
  </si>
  <si>
    <t>Ambang Batas yang Diijinkan</t>
  </si>
  <si>
    <t>Resitansi Isolasi</t>
  </si>
  <si>
    <t>MΩ</t>
  </si>
  <si>
    <t>Resistansi pembumian protektif</t>
  </si>
  <si>
    <t>Ω</t>
  </si>
  <si>
    <t>≤ 0.2</t>
  </si>
  <si>
    <t>Arus bocor peralatan untuk peralatan elektromedik kelas ( I / II )</t>
  </si>
  <si>
    <t>µA</t>
  </si>
  <si>
    <t>(≤ 500 / ≤ 100)</t>
  </si>
  <si>
    <t>IV.</t>
  </si>
  <si>
    <t>Hasil Pengukuran Kinerja</t>
  </si>
  <si>
    <t>No</t>
  </si>
  <si>
    <t>Setting Alat</t>
  </si>
  <si>
    <t xml:space="preserve"> Pembacaan Standar</t>
  </si>
  <si>
    <t>Toleransi</t>
  </si>
  <si>
    <t>I</t>
  </si>
  <si>
    <t>II</t>
  </si>
  <si>
    <t>III</t>
  </si>
  <si>
    <t>IV</t>
  </si>
  <si>
    <t>V</t>
  </si>
  <si>
    <t>VI</t>
  </si>
  <si>
    <t>Flowrate (ml/h)</t>
  </si>
  <si>
    <t>10,….</t>
  </si>
  <si>
    <t>± 10%</t>
  </si>
  <si>
    <t>50,….</t>
  </si>
  <si>
    <t>100,….</t>
  </si>
  <si>
    <t>500,….</t>
  </si>
  <si>
    <t>Occlusion ( PSI )</t>
  </si>
  <si>
    <r>
      <t>&lt;</t>
    </r>
    <r>
      <rPr>
        <sz val="11"/>
        <rFont val="Arial"/>
        <family val="2"/>
      </rPr>
      <t xml:space="preserve"> 20 PSI</t>
    </r>
  </si>
  <si>
    <t>*Pengukuran Occlusion di setting 100 ml/h</t>
  </si>
  <si>
    <t>V.</t>
  </si>
  <si>
    <t>Keterangan</t>
  </si>
  <si>
    <t>Infusion Device Analyzer menggunakan channel</t>
  </si>
  <si>
    <t>Infusion set merek :</t>
  </si>
  <si>
    <t>,</t>
  </si>
  <si>
    <t>drops</t>
  </si>
  <si>
    <r>
      <t xml:space="preserve">Kondisi instalasi pada ruangan ( </t>
    </r>
    <r>
      <rPr>
        <i/>
        <sz val="11"/>
        <rFont val="Arial"/>
        <family val="2"/>
      </rPr>
      <t>Ada Grounding / Tidak Ada Grounding</t>
    </r>
    <r>
      <rPr>
        <sz val="11"/>
        <rFont val="Arial"/>
        <family val="2"/>
      </rPr>
      <t xml:space="preserve"> )*</t>
    </r>
  </si>
  <si>
    <t>Arus bocor peralatan untuk peralatan elektromedik (NC) :…..........................µA*</t>
  </si>
  <si>
    <t>VI.</t>
  </si>
  <si>
    <t>Alat Ukur Yang Digunakan</t>
  </si>
  <si>
    <t>Infusion Device Analyzer, Merek : Fluke, Model : 1S (3157903)</t>
  </si>
  <si>
    <t>Infusion Device Analyzer, Merek : Fluke, Model : IDA 4 Plus (14813)</t>
  </si>
  <si>
    <t>Infusion Device Analyzer, Merek : Fluke, Model : IDA 5 (3216902/4429017/5157004/5157005/5321078)</t>
  </si>
  <si>
    <t>Infusion Device Analyzer, Merek : Rigel, Model : Multi-Flo (05J-0015)</t>
  </si>
  <si>
    <t>Electrical Safety Analyzer, Merek : Fluke, Model : ESA 620, SN(1837056) / (1834020)</t>
  </si>
  <si>
    <t>Electrical Safety Analyzer, Merek : Fluke, Model : ESA 615, SN(2853077/2853078/3148907/3148908/3699030/4669058)</t>
  </si>
  <si>
    <t>Electrical Safety Analyzer, Merek : Fluke, Model : ESA 615, SN(4670010)</t>
  </si>
  <si>
    <t>Digital Thermohygrometer, Merek : KIMO, Model : KH-210, SN(15062875/ 15062874/ 14082463/ 15062872/ 15062873)</t>
  </si>
  <si>
    <t>Digital Thermohygrometer, Merek : Sekonic, Model : ST - 50A, SN(HE 21-000670/  HE 21-000669)</t>
  </si>
  <si>
    <t>Digital Thermohygrobarometer, Merek : Greisinger, Model : GFTB 200, SN( 34903046/ 34903051/ 34903053 )</t>
  </si>
  <si>
    <t>Digital Thermohygrometer, Merek : GREISINGER, Model : GFTB 202, SN: 34904091</t>
  </si>
  <si>
    <t>Digital Thermohygrometer, Merek : EXTECH, Model : SD700, SN(A.100586/A.100605/A.100609/A.100611)</t>
  </si>
  <si>
    <t>Digital Thermohygrometer, Merek : EXTECH, Model : SD700, SN(A.100615/A.100616/A.100617/A.100618)</t>
  </si>
  <si>
    <t>VII.</t>
  </si>
  <si>
    <t>Petugas Kalibrasi</t>
  </si>
  <si>
    <t>No.</t>
  </si>
  <si>
    <t>Tanggal</t>
  </si>
  <si>
    <t>Revisi</t>
  </si>
  <si>
    <t>Nama</t>
  </si>
  <si>
    <t>Resitansi (vena)</t>
  </si>
  <si>
    <t>Resistansi (vena)</t>
  </si>
  <si>
    <t>Venna</t>
  </si>
  <si>
    <t>28 Januari 2021</t>
  </si>
  <si>
    <t>Drift = 0.00 ( huda )</t>
  </si>
  <si>
    <t>Drift 1 sertifikat menggunakan nilai 1/3 U95 (donny)</t>
  </si>
  <si>
    <t>Huda, Donny</t>
  </si>
  <si>
    <t>Tidak ada alat SN 5157004 dan 5157005 (donny)</t>
  </si>
  <si>
    <t>Ditambah kan alat tersebut dan nilai sertifikat (donny)</t>
  </si>
  <si>
    <t>Donny</t>
  </si>
  <si>
    <t>Pada Kesimpulan HK 02.02/V/5771/2018 (donny)</t>
  </si>
  <si>
    <t>Pada Kesimpulan HK 02.02/V/0412/2020 (donny)</t>
  </si>
  <si>
    <t>Belum Update sertifikat th.2020
ESA 56
Kimo 73
Kimo 75
Kimo 72 (2019)
Sekonic 670</t>
  </si>
  <si>
    <t>Sudah Update sertifikat th.2020
ESA 56
Kimo 73
Kimo 75
Kimo 72 (2019)
Sekonic 670</t>
  </si>
  <si>
    <t>18 Mei 2021</t>
  </si>
  <si>
    <t>Belum Update sertifikat th.2021
 ESA 615 (2853078)
Greisinger 3051
Greisinger 3053
IDA5 4429017</t>
  </si>
  <si>
    <t>Sudah Update sertifikat th.2021                                       ESA 615 (2853078)
Greisinger 3051
Greisinger 3053
IDA5 4429017</t>
  </si>
  <si>
    <t>10 Juli 2021</t>
  </si>
  <si>
    <t>Belum Update Sertifikat th. 2021                          IDA5 (3216902)                                                      Kimo (14082463)                                               Kimo (15062874)                                                  ESA 615 (3148907)                                                                                        ESA 615 (2853077)</t>
  </si>
  <si>
    <t>Sudah Update Sertifikat th. 2021
IDA5 (3216902)
Kimo (14082463)
Kimo (15062874)
ESA 615 (3148907)                                                                                                             ESA 615 (2853077)</t>
  </si>
  <si>
    <t>Irfan</t>
  </si>
  <si>
    <t xml:space="preserve">Penambahan Tanggal Penerimaan Alat                          Update ESA                                                                </t>
  </si>
  <si>
    <t>Sudah ditambahkan dan diupdate</t>
  </si>
  <si>
    <t>Input Data Kalibrasi Infusion Pump</t>
  </si>
  <si>
    <t>9 / III - 22 / E - 000.01 DL</t>
  </si>
  <si>
    <t>Bbraun</t>
  </si>
  <si>
    <t>B</t>
  </si>
  <si>
    <t>C</t>
  </si>
  <si>
    <t>(10 - 50) mL/h</t>
  </si>
  <si>
    <t xml:space="preserve"> ml/h</t>
  </si>
  <si>
    <t>(100 - 500) mL/h</t>
  </si>
  <si>
    <t>D</t>
  </si>
  <si>
    <t>Nama Ruang</t>
  </si>
  <si>
    <t>E</t>
  </si>
  <si>
    <t>Metode Kerja</t>
  </si>
  <si>
    <t>MK 027-18</t>
  </si>
  <si>
    <t>I.</t>
  </si>
  <si>
    <t>1. Suhu</t>
  </si>
  <si>
    <t>°C</t>
  </si>
  <si>
    <t>2. Kelembaban</t>
  </si>
  <si>
    <t>II.</t>
  </si>
  <si>
    <t>Baik</t>
  </si>
  <si>
    <t>G</t>
  </si>
  <si>
    <t>Resistansi Isolasi</t>
  </si>
  <si>
    <t>NC</t>
  </si>
  <si>
    <t>Resistansi Pembumian Protektif (kabel dapat dilepas)</t>
  </si>
  <si>
    <t>Kelas I</t>
  </si>
  <si>
    <t>Input NC</t>
  </si>
  <si>
    <t>Arus bocor peralatan untuk peralatan elektromedik kelas I</t>
  </si>
  <si>
    <t>Validasi</t>
  </si>
  <si>
    <t>Rata2</t>
  </si>
  <si>
    <t>Rata2 Terkoreksi</t>
  </si>
  <si>
    <t>Koreksi</t>
  </si>
  <si>
    <t>Occlusion (PSI)</t>
  </si>
  <si>
    <t>Ketidakpastian pengukuran dilaporkan pada tingkat kepercayaan 95 % dengan faktor cakupan k = 2</t>
  </si>
  <si>
    <t>Infusion device analyzer menggunakan channel 4 (IDA 5, SN : 5157004)</t>
  </si>
  <si>
    <t xml:space="preserve">Infusion set merek : </t>
  </si>
  <si>
    <t>Bbraun, 20 drops</t>
  </si>
  <si>
    <t/>
  </si>
  <si>
    <t>Electrical Safety Analyzer, Merek : Fluke, Model : ESA 615, SN : 4669058</t>
  </si>
  <si>
    <t>Thermohygrolight, Merek : EXTECH, Model : SD700, SN : A.100605</t>
  </si>
  <si>
    <t>Kesimpulan</t>
  </si>
  <si>
    <t>VIII.</t>
  </si>
  <si>
    <t>Donny Martha</t>
  </si>
  <si>
    <t>IX.</t>
  </si>
  <si>
    <t>Tanggal Pembuatan Laporan</t>
  </si>
  <si>
    <t>14 Maret 2022</t>
  </si>
  <si>
    <t>REV : 3 Desember 2020</t>
  </si>
  <si>
    <t>UNCERTAINTY BUDGET</t>
  </si>
  <si>
    <t>Flowrate</t>
  </si>
  <si>
    <t>Flow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</si>
  <si>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</si>
  <si>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</si>
  <si>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</si>
  <si>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</si>
  <si>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</si>
  <si>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</si>
  <si>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</si>
  <si>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</si>
  <si>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</si>
  <si>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</si>
  <si>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</si>
  <si>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</si>
  <si>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(uici)^2</t>
  </si>
  <si>
    <t>(uici)^4/vi</t>
  </si>
  <si>
    <t xml:space="preserve">1. Repeatability </t>
  </si>
  <si>
    <t>normal</t>
  </si>
  <si>
    <t>2. Daya baca UUT</t>
  </si>
  <si>
    <t>rect.</t>
  </si>
  <si>
    <t xml:space="preserve">3. Drift standar </t>
  </si>
  <si>
    <t>4. Sertifikat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</si>
  <si>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</si>
  <si>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</si>
  <si>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</si>
  <si>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r>
      <t>Uc</t>
    </r>
    <r>
      <rPr>
        <sz val="10"/>
        <color rgb="FFFF0000"/>
        <rFont val="Arial"/>
        <family val="2"/>
      </rPr>
      <t xml:space="preserve"> = Ö [S(u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 xml:space="preserve"> c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</si>
  <si>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</si>
  <si>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</si>
  <si>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r>
      <t>n</t>
    </r>
    <r>
      <rPr>
        <vertAlign val="subscript"/>
        <sz val="10"/>
        <color rgb="FFFF0000"/>
        <rFont val="Arial"/>
        <family val="2"/>
      </rPr>
      <t>eff</t>
    </r>
    <r>
      <rPr>
        <sz val="10"/>
        <color rgb="FFFF0000"/>
        <rFont val="Arial"/>
        <family val="2"/>
      </rPr>
      <t xml:space="preserve"> = u</t>
    </r>
    <r>
      <rPr>
        <vertAlign val="subscript"/>
        <sz val="10"/>
        <color rgb="FFFF0000"/>
        <rFont val="Arial"/>
        <family val="2"/>
      </rPr>
      <t>c</t>
    </r>
    <r>
      <rPr>
        <vertAlign val="superscript"/>
        <sz val="10"/>
        <color rgb="FFFF0000"/>
        <rFont val="Arial"/>
        <family val="2"/>
      </rPr>
      <t>4</t>
    </r>
    <r>
      <rPr>
        <sz val="10"/>
        <color rgb="FFFF0000"/>
        <rFont val="Arial"/>
        <family val="2"/>
      </rPr>
      <t xml:space="preserve"> / [S(u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 xml:space="preserve"> c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>)</t>
    </r>
    <r>
      <rPr>
        <vertAlign val="superscript"/>
        <sz val="10"/>
        <color rgb="FFFF0000"/>
        <rFont val="Arial"/>
        <family val="2"/>
      </rPr>
      <t xml:space="preserve"> 4</t>
    </r>
    <r>
      <rPr>
        <sz val="10"/>
        <color rgb="FFFF0000"/>
        <rFont val="Arial"/>
        <family val="2"/>
      </rPr>
      <t>/n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</si>
  <si>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</si>
  <si>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</si>
  <si>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</si>
  <si>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</si>
  <si>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 xml:space="preserve">2. Drift standar </t>
  </si>
  <si>
    <t>3. Sertifikat Standar</t>
  </si>
  <si>
    <t>Psi</t>
  </si>
  <si>
    <t>Hasil Kalibrasi Infusion Pump</t>
  </si>
  <si>
    <t xml:space="preserve">    </t>
  </si>
  <si>
    <t xml:space="preserve">     </t>
  </si>
  <si>
    <t>Terkoreksi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</si>
  <si>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</si>
  <si>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</si>
  <si>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</si>
  <si>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</si>
  <si>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</si>
  <si>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</si>
  <si>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</si>
  <si>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Pembacaan Standar</t>
  </si>
  <si>
    <t>Ketidakpastian Pengukuran</t>
  </si>
  <si>
    <t>[ |C|+|U| ] (%)</t>
  </si>
  <si>
    <t>NG</t>
  </si>
  <si>
    <t>Arus bocor peralatan untuk peralatan elektromedik kelas II</t>
  </si>
  <si>
    <t>±</t>
  </si>
  <si>
    <t>Score Akhir</t>
  </si>
  <si>
    <t>Status Akhir</t>
  </si>
  <si>
    <t>Paraf</t>
  </si>
  <si>
    <t>Score Total</t>
  </si>
  <si>
    <t>Penyelia  :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</si>
  <si>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</si>
  <si>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</si>
  <si>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</si>
  <si>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</si>
  <si>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Choirul Huda</t>
  </si>
  <si>
    <t>Dany Firmanto</t>
  </si>
  <si>
    <t>Supriyanto</t>
  </si>
  <si>
    <t>Rangga Setyo Hantoko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</si>
  <si>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</si>
  <si>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</si>
  <si>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</si>
  <si>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</si>
  <si>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</si>
  <si>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</si>
  <si>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</si>
  <si>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</si>
  <si>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</si>
  <si>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</si>
  <si>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</si>
  <si>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Menyetujui,</t>
  </si>
  <si>
    <t>Choirul Huda, S.Tr.Kes</t>
  </si>
  <si>
    <t>Halaman 2 dari 2 halaman</t>
  </si>
  <si>
    <t>NIP 198103112010121001</t>
  </si>
  <si>
    <t>NIP 198008062010121001</t>
  </si>
  <si>
    <t>Kepala Instalasi Laboratorium</t>
  </si>
  <si>
    <t>Pengujian dan Kalibrasi</t>
  </si>
  <si>
    <t>Koordinator Laboratorium</t>
  </si>
  <si>
    <t>Flow dan Volume</t>
  </si>
  <si>
    <t xml:space="preserve">                                                                 </t>
  </si>
  <si>
    <t>FV.027-18</t>
  </si>
  <si>
    <t xml:space="preserve">Nama Alat            : </t>
  </si>
  <si>
    <t>Infusion Pump</t>
  </si>
  <si>
    <t xml:space="preserve">Nomor Order           : </t>
  </si>
  <si>
    <t>Model / Tipe</t>
  </si>
  <si>
    <t>Nomor Seri</t>
  </si>
  <si>
    <t>Kapasitas</t>
  </si>
  <si>
    <t>Nama Pemilik      :</t>
  </si>
  <si>
    <t xml:space="preserve">Identitas Pemilik     : </t>
  </si>
  <si>
    <t>Alamat Pemilik</t>
  </si>
  <si>
    <t>Jalan ABC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</si>
  <si>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</si>
  <si>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</si>
  <si>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</si>
  <si>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</si>
  <si>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</si>
  <si>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</si>
  <si>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</si>
  <si>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</si>
  <si>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</si>
  <si>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</si>
  <si>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</si>
  <si>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</si>
  <si>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</si>
  <si>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</si>
  <si>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</si>
  <si>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</si>
  <si>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</si>
  <si>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</si>
  <si>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</si>
  <si>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</si>
  <si>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</si>
  <si>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</si>
  <si>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</si>
  <si>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</si>
  <si>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</si>
  <si>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</si>
  <si>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</si>
  <si>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t>Tekanan</t>
  </si>
  <si>
    <t>hPa</t>
  </si>
  <si>
    <t>-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</si>
  <si>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</si>
  <si>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</si>
  <si>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</si>
  <si>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</si>
  <si>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</si>
  <si>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</si>
  <si>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</si>
  <si>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</si>
  <si>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</si>
  <si>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</si>
  <si>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</si>
  <si>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</si>
  <si>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</si>
  <si>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</si>
  <si>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</si>
  <si>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</si>
  <si>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</si>
  <si>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</si>
  <si>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</si>
  <si>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</si>
  <si>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</si>
  <si>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</si>
  <si>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</si>
  <si>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</si>
  <si>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</si>
  <si>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</si>
  <si>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</si>
  <si>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</si>
  <si>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</si>
  <si>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</si>
  <si>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</si>
  <si>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</si>
  <si>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</si>
  <si>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</si>
  <si>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</si>
  <si>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</si>
  <si>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</si>
  <si>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</si>
  <si>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</si>
  <si>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</si>
  <si>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</si>
  <si>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</si>
  <si>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</si>
  <si>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</si>
  <si>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</si>
  <si>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</si>
  <si>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</si>
  <si>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</si>
  <si>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</si>
  <si>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</si>
  <si>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</si>
  <si>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</si>
  <si>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INPUT DATA SERTIFIKAT ESA</t>
  </si>
  <si>
    <t xml:space="preserve"> </t>
  </si>
  <si>
    <t>A</t>
  </si>
  <si>
    <t>ESA 620 (1837056)</t>
  </si>
  <si>
    <t>ESA 620 (1834020)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</si>
  <si>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</si>
  <si>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</si>
  <si>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</si>
  <si>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</si>
  <si>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</si>
  <si>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</si>
  <si>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</si>
  <si>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</si>
  <si>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t>Resistance</t>
  </si>
  <si>
    <t>ESA 615 (2853078)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</si>
  <si>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</si>
  <si>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</si>
  <si>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</si>
  <si>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</si>
  <si>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</si>
  <si>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</si>
  <si>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</si>
  <si>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</si>
  <si>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</si>
  <si>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</si>
  <si>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</si>
  <si>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Pembacaan terkoreksi</t>
  </si>
  <si>
    <t>Hasil</t>
  </si>
  <si>
    <t>NO</t>
  </si>
  <si>
    <t xml:space="preserve"> Volt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</si>
  <si>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</si>
  <si>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</si>
  <si>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</si>
  <si>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</si>
  <si>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</si>
  <si>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</si>
  <si>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</si>
  <si>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</si>
  <si>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4670010</t>
  </si>
  <si>
    <t>Electrical Safety Analyzer 11</t>
  </si>
  <si>
    <t>Electrical Safety Analyzer 12</t>
  </si>
  <si>
    <t>INPUT SERTIFIKAT IDA 5 2316902 (Flow)</t>
  </si>
  <si>
    <t>INPUT SERTIFIKAT IDA 1S 3157903 (Flow)</t>
  </si>
  <si>
    <t>INPUT SERTIFIKAT IDA 4 14813 (Flow)</t>
  </si>
  <si>
    <t>INPUT SERTIFIKAT IDA 5.. 5157004 (Flow)</t>
  </si>
  <si>
    <t>INPUT SERTIFIKAT IDA 5.. 5321078 (Flow)</t>
  </si>
  <si>
    <t>Channel 1</t>
  </si>
  <si>
    <t>U95 STD</t>
  </si>
  <si>
    <t>Channel 3</t>
  </si>
  <si>
    <t>U95    STD</t>
  </si>
  <si>
    <t>Single Channel</t>
  </si>
  <si>
    <t>( ml/h )</t>
  </si>
  <si>
    <t>Channel 2</t>
  </si>
  <si>
    <t>Channel 4</t>
  </si>
  <si>
    <t>INPUT SERTIFIKAT IDA 5 3216902 (Pressure)</t>
  </si>
  <si>
    <t>INPUT SERTIFIKAT IDA 1S 3157903 (Pressure)</t>
  </si>
  <si>
    <t>INPUT SERTIFIKAT IDA 4 14813 (Pressure)</t>
  </si>
  <si>
    <t>INPUT SERTIFIKAT IDA 5.. 5157004 (Pressure)</t>
  </si>
  <si>
    <t>INPUT SERTIFIKAT IDA 5.. 5321078 (Pressure)</t>
  </si>
  <si>
    <t>Pressure</t>
  </si>
  <si>
    <t>( Psi )</t>
  </si>
  <si>
    <t>INPUT SERTIFIKAT Rigel 05J-0015(Flow)</t>
  </si>
  <si>
    <t>INPUT SERTIFIKAT (Kosong) (Flow)</t>
  </si>
  <si>
    <t>INPUT SERTIFIKAT IDA 5.1 4429017 (Flow)</t>
  </si>
  <si>
    <t>INPUT SERTIFIKAT IDA 5… 5157005 (Flow)</t>
  </si>
  <si>
    <t>INPUT SERTIFIKAT Rigel 05J-0015(Pressure)</t>
  </si>
  <si>
    <t>INPUT SERTIFIKAT (kosong) (Pressure)</t>
  </si>
  <si>
    <t>INPUT SERTIFIKAT IDA 5.1 4429017 (Pressure)</t>
  </si>
  <si>
    <t>INPUT SERTIFIKAT IDA 5… 5157005 (Pressure)</t>
  </si>
  <si>
    <t>No Urut Titik Ukur</t>
  </si>
  <si>
    <t>Setting Flowrate</t>
  </si>
  <si>
    <t>Sertifikat</t>
  </si>
  <si>
    <t>No Urut IDA</t>
  </si>
  <si>
    <t>(ml/h )</t>
  </si>
  <si>
    <t>New</t>
  </si>
  <si>
    <t>Mid</t>
  </si>
  <si>
    <t>Old</t>
  </si>
  <si>
    <t>VII</t>
  </si>
  <si>
    <t>VIII</t>
  </si>
  <si>
    <t>IX</t>
  </si>
  <si>
    <t>X</t>
  </si>
  <si>
    <t>Setting Pressure</t>
  </si>
  <si>
    <t>( l/min )</t>
  </si>
  <si>
    <t>Seting</t>
  </si>
  <si>
    <t>Koreksi Flowrate</t>
  </si>
  <si>
    <t>Drift</t>
  </si>
  <si>
    <t>Jika Drift Nol</t>
  </si>
  <si>
    <t>Koreksi Pressure</t>
  </si>
  <si>
    <t>Kesalahan</t>
  </si>
  <si>
    <t>Kesalahan Relatif (%)</t>
  </si>
  <si>
    <t>|C|%</t>
  </si>
  <si>
    <t>|U|%</t>
  </si>
  <si>
    <t>|C|+|U| %</t>
  </si>
  <si>
    <t>U95 standar</t>
  </si>
  <si>
    <t>Daya Baca UUT</t>
  </si>
  <si>
    <t>Resolusi UUT</t>
  </si>
  <si>
    <t>Tahun Kalibrasi</t>
  </si>
  <si>
    <t>Infusion device analyzer menggunakan channel 1</t>
  </si>
  <si>
    <t>Infusion device analyzer menggunakan channel 2</t>
  </si>
  <si>
    <t>Infusion device analyzer menggunakan channel 3</t>
  </si>
  <si>
    <t>Infusion device analyzer menggunakan channel 4</t>
  </si>
  <si>
    <t>Infusion device analyzer menggunakan single channel</t>
  </si>
  <si>
    <t>Infusion device analyzer menggunakan channel 1 (RGL, SN : 05J-0015)</t>
  </si>
  <si>
    <t>Infusion device analyzer menggunakan channel 2 (RGL, SN : 05J-0015)</t>
  </si>
  <si>
    <t>Infusion device analyzer menggunakan channel 3 (RGL, SN : 05J-0015)</t>
  </si>
  <si>
    <t>Infusion device analyzer menggunakan channel 4 (RGL, SN : 05J-0015)</t>
  </si>
  <si>
    <t>Infusion device analyzer menggunakan single channel (kosong)</t>
  </si>
  <si>
    <t>Infusion device analyzer menggunakan channel 1 (IDA 5, SN : 4429017)</t>
  </si>
  <si>
    <t>Infusion device analyzer menggunakan channel 2 (IDA 5, SN : 4429017)</t>
  </si>
  <si>
    <t>Infusion device analyzer menggunakan channel 3 (IDA 5, SN : 4429017)</t>
  </si>
  <si>
    <t>Infusion device analyzer menggunakan channel 4 (IDA 5, SN : 4429017)</t>
  </si>
  <si>
    <t>Infusion device analyzer menggunakan channel 1 (IDA 5, SN : 5157004)</t>
  </si>
  <si>
    <t>Infusion device analyzer menggunakan channel 2 (IDA 5, SN : 5157004)</t>
  </si>
  <si>
    <t>Infusion device analyzer menggunakan channel 3 (IDA 5, SN : 5157004)</t>
  </si>
  <si>
    <t>Infusion device analyzer menggunakan channel 1 (IDA 5, SN : 5157005)</t>
  </si>
  <si>
    <t>Infusion device analyzer menggunakan channel 2 (IDA 5, SN : 5157005)</t>
  </si>
  <si>
    <t>Infusion device analyzer menggunakan channel 3 (IDA 5, SN : 5157005)</t>
  </si>
  <si>
    <t>Infusion device analyzer menggunakan channel 4 (IDA 5, SN : 5157005)</t>
  </si>
  <si>
    <t>Infusion device analyzer menggunakan channel 1 (IDA 5, SN : 5321078)</t>
  </si>
  <si>
    <t>Infusion device analyzer menggunakan channel 2 (IDA 5, SN : 5321078)</t>
  </si>
  <si>
    <t>Infusion device analyzer menggunakan channel 3 (IDA 5, SN : 5321078)</t>
  </si>
  <si>
    <t>Infusion device analyzer menggunakan channel 4 (IDA 5, SN : 5321078)</t>
  </si>
  <si>
    <t>Infusion Devices Analyzer, Merek : Fluke, Model : IDA 5, SN : 3216902</t>
  </si>
  <si>
    <t>Hasil pengukuran flowrate tertelusur ke Satuan Internasional ( SI ) melalui PT. Kaliman (LK-032-IDN)</t>
  </si>
  <si>
    <t>Infusion Devices Analyzer, Merek : Fluke, Model : IDA 1S, SN : 3157903</t>
  </si>
  <si>
    <t>Infusion Devices Analyzer, Merek : Fluke, Model : IDA 4 Plus, SN : 14813</t>
  </si>
  <si>
    <t>Infusion Devices Analyzer, Merek : Rigel, Model : Multi-Flo, SN : 05J-0015</t>
  </si>
  <si>
    <t>Infusion Devices Analyzer, Merek : 5, Model : - , SN : - (tertelusur ke -)</t>
  </si>
  <si>
    <t>Hasil pengukuran flowrate tertelusur ke Satuan Internasional ( SI ) melalui ……………………</t>
  </si>
  <si>
    <t>Infusion Devices Analyzer, Merek : Fluke, Model : IDA 5, SN : 4429017</t>
  </si>
  <si>
    <t>Infusion Devices Analyzer, Merek : Fluke, Model : IDA 5, SN : 5157004</t>
  </si>
  <si>
    <t>Infusion Devices Analyzer, Merek : Fluke, Model : IDA 5, SN : 5157005</t>
  </si>
  <si>
    <t>Infusion Devices Analyzer, Merek : Fluke, Model : IDA 5, SN : 5321078</t>
  </si>
  <si>
    <t>Azhar Alamsyah</t>
  </si>
  <si>
    <t>Dewi Nofitasari</t>
  </si>
  <si>
    <t>Hasil pengukuran Occlusion tertelusur ke Satuan Internasional ( SI ) melalui PT. Kaliman (LK-032-IDN)</t>
  </si>
  <si>
    <t>Fatimah Novrianisa</t>
  </si>
  <si>
    <t>Gusti Arya Dinata</t>
  </si>
  <si>
    <t>Hamdan Syarif</t>
  </si>
  <si>
    <t>Hary Ernanto</t>
  </si>
  <si>
    <t>Isra Mahensa</t>
  </si>
  <si>
    <t>Muhammad Alpian Hadi</t>
  </si>
  <si>
    <t>Muhammad Arrizal Septiawan</t>
  </si>
  <si>
    <t>Muhammad Ihsan Ilyas</t>
  </si>
  <si>
    <t>Muhammad Iqbal Saiful Rahman</t>
  </si>
  <si>
    <t>Muhammad Irfan Husnuzhzhan</t>
  </si>
  <si>
    <t>Tidak Baik</t>
  </si>
  <si>
    <t>Muhammad Zaenuri Sugiasmoro</t>
  </si>
  <si>
    <t>Rangga Setya Hantoko</t>
  </si>
  <si>
    <t>Hasil pengukuran Occlusion tertelusur ke Satuan Internasional ( SI ) melalui …………………</t>
  </si>
  <si>
    <t>Ryan Rama Chaesar R</t>
  </si>
  <si>
    <t>Septia Khairunnisa</t>
  </si>
  <si>
    <t>Sholihatussa'diah</t>
  </si>
  <si>
    <t>Siti Fathul Jannah</t>
  </si>
  <si>
    <t>Bbraun, 60 drops</t>
  </si>
  <si>
    <t>Taufik Priawan</t>
  </si>
  <si>
    <t>Terumo, 20 drops</t>
  </si>
  <si>
    <t>Venna Filosofia</t>
  </si>
  <si>
    <t>Terumo, 60 drops</t>
  </si>
  <si>
    <t>Vikki Akhsanudin Nurkholis</t>
  </si>
  <si>
    <t>Otsuka, 20 drops</t>
  </si>
  <si>
    <t>Wardimanul Abrar</t>
  </si>
  <si>
    <t>Otsuka, 60 drops</t>
  </si>
  <si>
    <t>Yurdha Algifari</t>
  </si>
  <si>
    <t>Onemed, 20 drops</t>
  </si>
  <si>
    <t>Onemed, 60 drops</t>
  </si>
  <si>
    <t>GEA, 20 drops</t>
  </si>
  <si>
    <t>GEA, 60 drops</t>
  </si>
  <si>
    <t>Mindray, 20 drops</t>
  </si>
  <si>
    <t>Mindray, 60 drops</t>
  </si>
  <si>
    <t>Fresenius, 20 drops</t>
  </si>
  <si>
    <t>Fresenius, 60 drops</t>
  </si>
  <si>
    <t>Dibuat :</t>
  </si>
  <si>
    <t>Nomor Sertifikat : 29 /</t>
  </si>
  <si>
    <t>Nomor Surat Keterangan : 29 / M -</t>
  </si>
  <si>
    <t>Alat yang dikalibrasi dalam batas toleransi dan dinyatakan LAIK PAKAI, dimana hasil atau skor akhir sama dengan atau melampaui 70% berdasarkan Keputusan Direktur Jenderal Pelayanan Kesehatan No : HK.02.02/V/0412/2020.</t>
  </si>
  <si>
    <t>Alat yang dikalibrasi melebihi batas toleransi dan dinyatakan TIDAK LAIK PAKAI, dimana hasil atau skor akhir dibawah 70% berdasarkan Keputusan Direktur Jenderal Pelayanan Kesehatan No : HK.02.02/V/0412/2020.</t>
  </si>
  <si>
    <t>Setting</t>
  </si>
  <si>
    <t>(0 - 9.9) mL/h</t>
  </si>
  <si>
    <t>(0 - 50) mL/h</t>
  </si>
  <si>
    <t>(100 - 300) mL/h</t>
  </si>
  <si>
    <t>(0 - 500) mL/h</t>
  </si>
  <si>
    <t>SCORING</t>
  </si>
  <si>
    <t>Nilai</t>
  </si>
  <si>
    <t>Score</t>
  </si>
  <si>
    <t>Status</t>
  </si>
  <si>
    <t>KESIMPULAN PENGUKURAN KINERJA</t>
  </si>
  <si>
    <t xml:space="preserve">Score Total </t>
  </si>
  <si>
    <r>
      <rPr>
        <sz val="11"/>
        <rFont val="Calibri"/>
        <family val="2"/>
      </rPr>
      <t>°</t>
    </r>
    <r>
      <rPr>
        <i/>
        <sz val="11"/>
        <rFont val="Times New Roman"/>
        <family val="1"/>
      </rPr>
      <t>C</t>
    </r>
  </si>
  <si>
    <r>
      <rPr>
        <sz val="11"/>
        <rFont val="Times New Roman"/>
        <family val="1"/>
      </rPr>
      <t>°</t>
    </r>
    <r>
      <rPr>
        <i/>
        <sz val="11"/>
        <rFont val="Times New Roman"/>
        <family val="1"/>
      </rPr>
      <t>C</t>
    </r>
  </si>
  <si>
    <t>Hasil U95</t>
  </si>
  <si>
    <t>MAX</t>
  </si>
  <si>
    <t>Decimal</t>
  </si>
  <si>
    <t>HASIL 2-SD</t>
  </si>
  <si>
    <t>Update sertifikat ESA 077,058</t>
  </si>
  <si>
    <t>Thermohygro 605,609,611</t>
  </si>
  <si>
    <t>IDA 903,7005,7004,14813,1078</t>
  </si>
  <si>
    <t>Tim flow</t>
  </si>
  <si>
    <t>7 Juli 2022</t>
  </si>
  <si>
    <t xml:space="preserve">Belum terlink koreksi pressure </t>
  </si>
  <si>
    <t>Done</t>
  </si>
  <si>
    <t>Update Rev 10 : 7.7.2022</t>
  </si>
  <si>
    <t>Infusion device analyzer menggunakan channel 1 (IDA 5, SN : 3216902)</t>
  </si>
  <si>
    <t>Infusion device analyzer menggunakan channel 2 (IDA 5, SN : 3216902)</t>
  </si>
  <si>
    <t>Infusion device analyzer menggunakan channel 3 (IDA 5, SN : 3216902)</t>
  </si>
  <si>
    <t>Infusion device analyzer menggunakan channel 4 (IDA 5, SN : 3216902)</t>
  </si>
  <si>
    <t>Infusion device analyzer menggunakan single channel (1S, SN : 3157903)</t>
  </si>
  <si>
    <t>Infusion device analyzer menggunakan channel 1 (IDA 4, SN : 14813)</t>
  </si>
  <si>
    <t>Infusion device analyzer menggunakan channel 2 (IDA 4, SN : 14813)</t>
  </si>
  <si>
    <t>Infusion device analyzer menggunakan channel 3 (IDA 4, SN : 14813)</t>
  </si>
  <si>
    <t>Infusion device analyzer menggunakan channel 4 (IDA 4, SN : 14813)</t>
  </si>
  <si>
    <t>Infusion device analyzer menggunakan channel 1 (IDA 5, SN : -)</t>
  </si>
  <si>
    <t>Infusion device analyzer menggunakan channel 2 (IDA 5, SN : -)</t>
  </si>
  <si>
    <t>Infusion device analyzer menggunakan channel 3 (IDA 5, SN : -)</t>
  </si>
  <si>
    <t>Infusion device analyzer menggunakan channel 4 (IDA 5, SN : -)</t>
  </si>
  <si>
    <t>Infusion Devices Analyzer, Merek : Fluke, Model : IDA 5, SN : -</t>
  </si>
  <si>
    <t>MΩ</t>
  </si>
  <si>
    <t>INTERPOLASI FLOWRATE</t>
  </si>
  <si>
    <t>INTERPOLASI DRIFT</t>
  </si>
  <si>
    <t>INTERPOLASI U95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</si>
  <si>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</si>
  <si>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</si>
  <si>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Tegangan jala-jala listrik</t>
  </si>
  <si>
    <t>Tahanan isolasi kabel catu daya</t>
  </si>
  <si>
    <t>Arus bocor</t>
  </si>
  <si>
    <t>Electrical Safety Analyzer, Merek : Fluke, Model : ESA 615, SN : --</t>
  </si>
  <si>
    <t>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</si>
</sst>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3" formatCode="_(* #,##0.00_);_(* \(#,##0.00\);_(* &quot;-&quot;??_);_(@_)"/>
    <numFmt numFmtId="164" formatCode="0.000"/>
    <numFmt numFmtId="165" formatCode="0.0000"/>
    <numFmt numFmtId="166" formatCode="0.0"/>
    <numFmt numFmtId="167" formatCode="\±\ 0.0"/>
    <numFmt numFmtId="168" formatCode="0.000\ \Ω"/>
    <numFmt numFmtId="169" formatCode="0.0\ \µ\A"/>
    <numFmt numFmtId="170" formatCode="\≤\ 0.0\ \Ω"/>
    <numFmt numFmtId="171" formatCode="\≤\ 0\ \µ\A"/>
    <numFmt numFmtId="172" formatCode="0.0\ &quot;MΩ&quot;"/>
    <numFmt numFmtId="173" formatCode="[$-421]dd\ mmmm\ yyyy;@"/>
    <numFmt numFmtId="174" formatCode="0.0%"/>
    <numFmt numFmtId="175" formatCode="\±\ 0\ &quot;%&quot;"/>
    <numFmt numFmtId="176" formatCode="\≤\ 0\ &quot;PSI&quot;"/>
    <numFmt numFmtId="177" formatCode="\&gt;\ 0"/>
    <numFmt numFmtId="178" formatCode="\&gt;\ 0\ &quot;MΩ&quot;"/>
    <numFmt numFmtId="179" formatCode="\±\ 0.00"/>
    <numFmt numFmtId="180" formatCode="0.00000"/>
    <numFmt numFmtId="181" formatCode="dd/mm/yyyy;@"/>
    <numFmt numFmtId="182" formatCode="0\ &quot;BPM&quot;"/>
    <numFmt numFmtId="183" formatCode="[$-C09]d\ mmmm\ yyyy;@"/>
    <numFmt numFmtId="184" formatCode="0.0000000000"/>
    <numFmt numFmtId="185" formatCode="0.000000"/>
  </numFmts>
  <fonts count="9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b/>
      <i/>
      <sz val="10"/>
      <name val="Arial"/>
      <family val="2"/>
    </font>
    <font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sz val="48"/>
      <name val="Arial"/>
      <family val="2"/>
    </font>
    <font>
      <sz val="48"/>
      <name val="Times New Roman"/>
      <family val="1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theme="0" tint="-0.249977111117893"/>
      <name val="Arial"/>
      <family val="2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i/>
      <sz val="12"/>
      <name val="Arial"/>
      <family val="2"/>
    </font>
    <font>
      <b/>
      <i/>
      <vertAlign val="superscript"/>
      <sz val="11"/>
      <name val="Calibri"/>
      <family val="2"/>
      <scheme val="minor"/>
    </font>
    <font>
      <sz val="11"/>
      <color theme="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vertAlign val="subscript"/>
      <sz val="10"/>
      <color rgb="FFFF0000"/>
      <name val="Arial"/>
      <family val="2"/>
    </font>
    <font>
      <vertAlign val="superscript"/>
      <sz val="10"/>
      <color rgb="FFFF0000"/>
      <name val="Arial"/>
      <family val="2"/>
    </font>
    <font>
      <b/>
      <sz val="11"/>
      <color theme="1"/>
      <name val="Arial"/>
      <family val="2"/>
    </font>
    <font>
      <b/>
      <i/>
      <u/>
      <sz val="12"/>
      <name val="Arial"/>
      <family val="2"/>
    </font>
    <font>
      <b/>
      <i/>
      <sz val="11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2"/>
      <color rgb="FFFF0000"/>
      <name val="Arial"/>
      <family val="2"/>
    </font>
    <font>
      <sz val="9"/>
      <name val="Times New Roman"/>
      <family val="1"/>
    </font>
    <font>
      <sz val="10"/>
      <color theme="0" tint="-0.34998626667073579"/>
      <name val="Arial"/>
      <family val="2"/>
    </font>
    <font>
      <sz val="9"/>
      <name val="Calibri"/>
      <family val="2"/>
      <scheme val="minor"/>
    </font>
    <font>
      <b/>
      <u/>
      <sz val="12"/>
      <name val="Arial"/>
      <family val="2"/>
    </font>
    <font>
      <b/>
      <u/>
      <sz val="16"/>
      <name val="Arial"/>
      <family val="2"/>
    </font>
    <font>
      <b/>
      <sz val="18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Times New Roman"/>
      <family val="1"/>
    </font>
    <font>
      <i/>
      <sz val="11"/>
      <name val="Times New Roman"/>
      <family val="1"/>
    </font>
    <font>
      <i/>
      <sz val="10"/>
      <name val="Times New Roman"/>
      <family val="1"/>
    </font>
    <font>
      <sz val="12"/>
      <name val="Times New Roman"/>
      <family val="1"/>
    </font>
    <font>
      <b/>
      <sz val="28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b/>
      <sz val="8"/>
      <color theme="1"/>
      <name val="Calibri"/>
      <family val="2"/>
      <scheme val="minor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14"/>
      <name val="Times New Roman"/>
      <family val="1"/>
    </font>
    <font>
      <sz val="12"/>
      <name val="Calibri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7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63" fillId="0" borderId="0" applyFont="0" applyFill="0" applyBorder="0" applyAlignment="0" applyProtection="0"/>
    <xf numFmtId="0" fontId="1" fillId="0" borderId="0"/>
  </cellStyleXfs>
  <cellXfs count="1608">
    <xf numFmtId="0" fontId="0" fillId="0" borderId="0" xfId="0"/>
    <xf numFmtId="0" fontId="1" fillId="0" borderId="0" xfId="0" applyFont="1"/>
    <xf numFmtId="0" fontId="1" fillId="0" borderId="48" xfId="0" applyFont="1" applyBorder="1"/>
    <xf numFmtId="0" fontId="1" fillId="0" borderId="47" xfId="0" applyFont="1" applyBorder="1"/>
    <xf numFmtId="2" fontId="1" fillId="2" borderId="15" xfId="0" applyNumberFormat="1" applyFont="1" applyFill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center"/>
    </xf>
    <xf numFmtId="0" fontId="24" fillId="0" borderId="0" xfId="0" applyFont="1"/>
    <xf numFmtId="164" fontId="23" fillId="0" borderId="0" xfId="0" applyNumberFormat="1" applyFont="1"/>
    <xf numFmtId="0" fontId="23" fillId="0" borderId="2" xfId="0" applyFont="1" applyBorder="1" applyAlignment="1">
      <alignment horizontal="left"/>
    </xf>
    <xf numFmtId="0" fontId="23" fillId="0" borderId="2" xfId="0" applyFont="1" applyBorder="1"/>
    <xf numFmtId="0" fontId="23" fillId="0" borderId="5" xfId="0" applyFont="1" applyBorder="1" applyAlignment="1">
      <alignment horizontal="left"/>
    </xf>
    <xf numFmtId="0" fontId="23" fillId="0" borderId="5" xfId="0" applyFont="1" applyBorder="1"/>
    <xf numFmtId="0" fontId="23" fillId="0" borderId="0" xfId="0" applyFont="1" applyAlignment="1">
      <alignment horizontal="left"/>
    </xf>
    <xf numFmtId="0" fontId="24" fillId="0" borderId="15" xfId="0" applyFont="1" applyBorder="1" applyAlignment="1">
      <alignment horizontal="center" vertical="center"/>
    </xf>
    <xf numFmtId="0" fontId="23" fillId="0" borderId="15" xfId="0" applyFont="1" applyBorder="1"/>
    <xf numFmtId="0" fontId="23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/>
    </xf>
    <xf numFmtId="0" fontId="23" fillId="0" borderId="21" xfId="0" applyFont="1" applyBorder="1"/>
    <xf numFmtId="0" fontId="25" fillId="0" borderId="0" xfId="0" quotePrefix="1" applyFont="1" applyAlignment="1">
      <alignment horizontal="left"/>
    </xf>
    <xf numFmtId="0" fontId="26" fillId="0" borderId="0" xfId="0" applyFont="1" applyAlignment="1">
      <alignment horizontal="center" vertical="center" wrapText="1"/>
    </xf>
    <xf numFmtId="0" fontId="23" fillId="2" borderId="12" xfId="0" applyFont="1" applyFill="1" applyBorder="1" applyAlignment="1">
      <alignment vertical="center"/>
    </xf>
    <xf numFmtId="0" fontId="23" fillId="0" borderId="0" xfId="0" applyFont="1" applyAlignment="1">
      <alignment horizontal="right" vertical="center"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 wrapText="1"/>
    </xf>
    <xf numFmtId="2" fontId="23" fillId="0" borderId="11" xfId="0" applyNumberFormat="1" applyFont="1" applyBorder="1" applyAlignment="1">
      <alignment horizontal="center"/>
    </xf>
    <xf numFmtId="9" fontId="28" fillId="0" borderId="11" xfId="0" quotePrefix="1" applyNumberFormat="1" applyFont="1" applyBorder="1" applyAlignment="1">
      <alignment vertical="center" wrapText="1"/>
    </xf>
    <xf numFmtId="2" fontId="23" fillId="0" borderId="0" xfId="0" applyNumberFormat="1" applyFont="1" applyAlignment="1">
      <alignment horizontal="center"/>
    </xf>
    <xf numFmtId="0" fontId="28" fillId="0" borderId="0" xfId="0" quotePrefix="1" applyFont="1" applyAlignment="1">
      <alignment horizontal="right"/>
    </xf>
    <xf numFmtId="2" fontId="23" fillId="0" borderId="0" xfId="0" applyNumberFormat="1" applyFont="1" applyAlignment="1">
      <alignment horizontal="left"/>
    </xf>
    <xf numFmtId="0" fontId="23" fillId="0" borderId="3" xfId="0" applyFont="1" applyBorder="1" applyAlignment="1">
      <alignment horizontal="center" vertical="center" wrapText="1"/>
    </xf>
    <xf numFmtId="2" fontId="23" fillId="0" borderId="3" xfId="0" applyNumberFormat="1" applyFont="1" applyBorder="1" applyAlignment="1">
      <alignment horizontal="center"/>
    </xf>
    <xf numFmtId="9" fontId="28" fillId="0" borderId="3" xfId="0" quotePrefix="1" applyNumberFormat="1" applyFont="1" applyBorder="1" applyAlignment="1">
      <alignment vertical="center" wrapText="1"/>
    </xf>
    <xf numFmtId="0" fontId="23" fillId="0" borderId="7" xfId="0" applyFont="1" applyBorder="1" applyAlignment="1">
      <alignment horizontal="center" vertical="center" wrapText="1"/>
    </xf>
    <xf numFmtId="2" fontId="23" fillId="0" borderId="7" xfId="0" applyNumberFormat="1" applyFont="1" applyBorder="1" applyAlignment="1">
      <alignment horizontal="center"/>
    </xf>
    <xf numFmtId="9" fontId="28" fillId="0" borderId="7" xfId="0" quotePrefix="1" applyNumberFormat="1" applyFont="1" applyBorder="1" applyAlignment="1">
      <alignment vertical="center" wrapText="1"/>
    </xf>
    <xf numFmtId="0" fontId="23" fillId="0" borderId="15" xfId="0" applyFont="1" applyBorder="1" applyAlignment="1">
      <alignment horizontal="center" vertical="center" wrapText="1"/>
    </xf>
    <xf numFmtId="9" fontId="28" fillId="0" borderId="15" xfId="0" quotePrefix="1" applyNumberFormat="1" applyFont="1" applyBorder="1" applyAlignment="1">
      <alignment horizontal="center" vertical="center" wrapText="1"/>
    </xf>
    <xf numFmtId="9" fontId="28" fillId="0" borderId="0" xfId="0" quotePrefix="1" applyNumberFormat="1" applyFont="1" applyAlignment="1">
      <alignment horizontal="center" vertical="center" wrapText="1"/>
    </xf>
    <xf numFmtId="0" fontId="27" fillId="0" borderId="0" xfId="0" applyFont="1" applyAlignment="1">
      <alignment horizontal="left"/>
    </xf>
    <xf numFmtId="164" fontId="23" fillId="0" borderId="0" xfId="0" applyNumberFormat="1" applyFont="1" applyAlignment="1">
      <alignment horizontal="center"/>
    </xf>
    <xf numFmtId="164" fontId="23" fillId="0" borderId="0" xfId="1" applyNumberFormat="1" applyFont="1" applyAlignment="1">
      <alignment horizontal="center"/>
    </xf>
    <xf numFmtId="164" fontId="23" fillId="0" borderId="0" xfId="0" applyNumberFormat="1" applyFont="1" applyAlignment="1">
      <alignment horizontal="left"/>
    </xf>
    <xf numFmtId="0" fontId="24" fillId="0" borderId="0" xfId="0" quotePrefix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164" fontId="29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28" fillId="0" borderId="0" xfId="0" quotePrefix="1" applyFont="1"/>
    <xf numFmtId="0" fontId="26" fillId="2" borderId="0" xfId="0" applyFont="1" applyFill="1" applyAlignment="1">
      <alignment horizontal="center" vertical="center" wrapText="1"/>
    </xf>
    <xf numFmtId="0" fontId="26" fillId="2" borderId="0" xfId="0" applyFont="1" applyFill="1" applyAlignment="1">
      <alignment vertical="center" wrapText="1"/>
    </xf>
    <xf numFmtId="164" fontId="29" fillId="0" borderId="2" xfId="0" applyNumberFormat="1" applyFont="1" applyBorder="1" applyAlignment="1">
      <alignment horizontal="center" vertical="center"/>
    </xf>
    <xf numFmtId="165" fontId="29" fillId="0" borderId="2" xfId="0" applyNumberFormat="1" applyFont="1" applyBorder="1" applyAlignment="1">
      <alignment horizontal="center" vertical="center"/>
    </xf>
    <xf numFmtId="165" fontId="29" fillId="0" borderId="0" xfId="0" applyNumberFormat="1" applyFont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23" fillId="0" borderId="0" xfId="0" applyFont="1" applyAlignment="1" applyProtection="1">
      <alignment vertical="center"/>
      <protection locked="0"/>
    </xf>
    <xf numFmtId="0" fontId="23" fillId="2" borderId="0" xfId="0" applyFont="1" applyFill="1" applyProtection="1">
      <protection hidden="1"/>
    </xf>
    <xf numFmtId="0" fontId="23" fillId="0" borderId="0" xfId="0" applyFont="1" applyAlignment="1" applyProtection="1">
      <alignment horizontal="left"/>
      <protection hidden="1"/>
    </xf>
    <xf numFmtId="0" fontId="26" fillId="0" borderId="0" xfId="0" applyFont="1" applyAlignment="1">
      <alignment vertical="center" wrapText="1"/>
    </xf>
    <xf numFmtId="0" fontId="28" fillId="0" borderId="0" xfId="0" applyFont="1"/>
    <xf numFmtId="9" fontId="28" fillId="0" borderId="15" xfId="0" quotePrefix="1" applyNumberFormat="1" applyFont="1" applyBorder="1" applyAlignment="1">
      <alignment vertical="center" wrapText="1"/>
    </xf>
    <xf numFmtId="0" fontId="23" fillId="0" borderId="69" xfId="0" applyFont="1" applyBorder="1" applyAlignment="1">
      <alignment horizontal="center" vertical="center" wrapText="1"/>
    </xf>
    <xf numFmtId="2" fontId="23" fillId="0" borderId="69" xfId="0" applyNumberFormat="1" applyFont="1" applyBorder="1" applyAlignment="1">
      <alignment horizontal="center"/>
    </xf>
    <xf numFmtId="9" fontId="28" fillId="0" borderId="69" xfId="0" quotePrefix="1" applyNumberFormat="1" applyFont="1" applyBorder="1" applyAlignment="1">
      <alignment vertical="center" wrapText="1"/>
    </xf>
    <xf numFmtId="0" fontId="16" fillId="0" borderId="0" xfId="0" applyFont="1" applyAlignment="1" applyProtection="1">
      <alignment vertical="center"/>
      <protection locked="0"/>
    </xf>
    <xf numFmtId="0" fontId="21" fillId="2" borderId="0" xfId="0" applyFont="1" applyFill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164" fontId="23" fillId="0" borderId="0" xfId="0" applyNumberFormat="1" applyFont="1" applyAlignment="1" applyProtection="1">
      <alignment vertical="center"/>
      <protection locked="0"/>
    </xf>
    <xf numFmtId="0" fontId="23" fillId="11" borderId="0" xfId="0" applyFont="1" applyFill="1" applyAlignment="1" applyProtection="1">
      <alignment vertical="center"/>
      <protection locked="0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 applyProtection="1">
      <alignment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4" fillId="0" borderId="0" xfId="3" applyFont="1" applyAlignment="1" applyProtection="1">
      <alignment horizontal="center" vertical="center" wrapText="1"/>
      <protection locked="0"/>
    </xf>
    <xf numFmtId="0" fontId="24" fillId="0" borderId="0" xfId="3" applyFont="1" applyAlignment="1" applyProtection="1">
      <alignment vertical="center"/>
      <protection locked="0"/>
    </xf>
    <xf numFmtId="0" fontId="24" fillId="0" borderId="0" xfId="3" applyFont="1" applyAlignment="1" applyProtection="1">
      <alignment horizontal="center" vertical="center"/>
      <protection locked="0"/>
    </xf>
    <xf numFmtId="166" fontId="23" fillId="0" borderId="0" xfId="3" applyNumberFormat="1" applyFont="1" applyAlignment="1" applyProtection="1">
      <alignment horizontal="left" vertical="center"/>
      <protection locked="0"/>
    </xf>
    <xf numFmtId="2" fontId="23" fillId="0" borderId="0" xfId="3" applyNumberFormat="1" applyFont="1" applyAlignment="1" applyProtection="1">
      <alignment horizontal="center" vertical="center"/>
      <protection locked="0"/>
    </xf>
    <xf numFmtId="166" fontId="23" fillId="0" borderId="0" xfId="3" applyNumberFormat="1" applyFont="1" applyAlignment="1" applyProtection="1">
      <alignment horizontal="center" vertical="center"/>
      <protection locked="0"/>
    </xf>
    <xf numFmtId="0" fontId="23" fillId="0" borderId="0" xfId="0" quotePrefix="1" applyFont="1" applyAlignment="1" applyProtection="1">
      <alignment horizontal="left" vertical="center"/>
      <protection locked="0"/>
    </xf>
    <xf numFmtId="0" fontId="25" fillId="0" borderId="0" xfId="0" quotePrefix="1" applyFont="1" applyAlignment="1" applyProtection="1">
      <alignment horizontal="left" vertical="center"/>
      <protection locked="0"/>
    </xf>
    <xf numFmtId="0" fontId="26" fillId="0" borderId="0" xfId="0" applyFont="1" applyAlignment="1" applyProtection="1">
      <alignment vertical="center" wrapText="1"/>
      <protection locked="0"/>
    </xf>
    <xf numFmtId="0" fontId="24" fillId="2" borderId="0" xfId="0" applyFont="1" applyFill="1" applyAlignment="1" applyProtection="1">
      <alignment vertical="center" wrapText="1"/>
      <protection locked="0"/>
    </xf>
    <xf numFmtId="0" fontId="24" fillId="0" borderId="1" xfId="0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vertical="center" wrapText="1"/>
      <protection locked="0"/>
    </xf>
    <xf numFmtId="0" fontId="23" fillId="0" borderId="7" xfId="0" applyFont="1" applyBorder="1" applyAlignment="1">
      <alignment horizontal="center" vertical="center"/>
    </xf>
    <xf numFmtId="0" fontId="24" fillId="0" borderId="16" xfId="0" applyFont="1" applyBorder="1" applyAlignment="1" applyProtection="1">
      <alignment horizontal="center" vertical="center"/>
      <protection locked="0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15" xfId="0" applyFont="1" applyBorder="1" applyAlignment="1" applyProtection="1">
      <alignment horizontal="center" vertical="center"/>
      <protection locked="0"/>
    </xf>
    <xf numFmtId="0" fontId="28" fillId="0" borderId="0" xfId="0" quotePrefix="1" applyFont="1" applyAlignment="1" applyProtection="1">
      <alignment horizontal="right" vertical="center"/>
      <protection locked="0"/>
    </xf>
    <xf numFmtId="2" fontId="23" fillId="0" borderId="0" xfId="0" applyNumberFormat="1" applyFont="1" applyAlignment="1" applyProtection="1">
      <alignment horizontal="left" vertical="center"/>
      <protection locked="0"/>
    </xf>
    <xf numFmtId="1" fontId="23" fillId="0" borderId="1" xfId="0" applyNumberFormat="1" applyFont="1" applyBorder="1" applyAlignment="1" applyProtection="1">
      <alignment horizontal="center" vertical="center" wrapText="1"/>
      <protection locked="0"/>
    </xf>
    <xf numFmtId="2" fontId="23" fillId="0" borderId="1" xfId="0" applyNumberFormat="1" applyFont="1" applyBorder="1" applyAlignment="1" applyProtection="1">
      <alignment horizontal="center" vertical="center"/>
      <protection locked="0"/>
    </xf>
    <xf numFmtId="2" fontId="23" fillId="0" borderId="1" xfId="0" quotePrefix="1" applyNumberFormat="1" applyFont="1" applyBorder="1" applyAlignment="1" applyProtection="1">
      <alignment horizontal="center" vertical="center" wrapText="1"/>
      <protection locked="0"/>
    </xf>
    <xf numFmtId="2" fontId="23" fillId="0" borderId="0" xfId="0" applyNumberFormat="1" applyFont="1" applyAlignment="1" applyProtection="1">
      <alignment horizontal="center" vertical="center"/>
      <protection locked="0"/>
    </xf>
    <xf numFmtId="0" fontId="27" fillId="0" borderId="1" xfId="0" applyFont="1" applyBorder="1" applyAlignment="1" applyProtection="1">
      <alignment horizontal="left" vertical="center"/>
      <protection locked="0"/>
    </xf>
    <xf numFmtId="0" fontId="23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164" fontId="23" fillId="0" borderId="0" xfId="0" applyNumberFormat="1" applyFont="1" applyAlignment="1" applyProtection="1">
      <alignment horizontal="center" vertical="center"/>
      <protection locked="0"/>
    </xf>
    <xf numFmtId="164" fontId="23" fillId="0" borderId="0" xfId="1" applyNumberFormat="1" applyFont="1" applyAlignment="1" applyProtection="1">
      <alignment horizontal="center" vertical="center"/>
      <protection locked="0"/>
    </xf>
    <xf numFmtId="164" fontId="23" fillId="0" borderId="0" xfId="0" applyNumberFormat="1" applyFont="1" applyAlignment="1" applyProtection="1">
      <alignment horizontal="left" vertical="center"/>
      <protection locked="0"/>
    </xf>
    <xf numFmtId="0" fontId="24" fillId="0" borderId="0" xfId="0" quotePrefix="1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left" vertical="center"/>
      <protection locked="0"/>
    </xf>
    <xf numFmtId="0" fontId="28" fillId="0" borderId="0" xfId="0" quotePrefix="1" applyFont="1" applyAlignment="1" applyProtection="1">
      <alignment vertical="center"/>
      <protection locked="0"/>
    </xf>
    <xf numFmtId="0" fontId="26" fillId="2" borderId="0" xfId="0" applyFont="1" applyFill="1" applyAlignment="1" applyProtection="1">
      <alignment vertical="center" wrapText="1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26" fillId="0" borderId="0" xfId="0" applyFont="1" applyAlignment="1" applyProtection="1">
      <alignment horizontal="center" vertical="center" wrapText="1"/>
      <protection locked="0"/>
    </xf>
    <xf numFmtId="0" fontId="26" fillId="2" borderId="0" xfId="0" applyFont="1" applyFill="1" applyAlignment="1" applyProtection="1">
      <alignment horizontal="center" vertical="center" wrapText="1"/>
      <protection locked="0"/>
    </xf>
    <xf numFmtId="0" fontId="24" fillId="0" borderId="0" xfId="0" quotePrefix="1" applyFont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right" vertical="center"/>
      <protection locked="0"/>
    </xf>
    <xf numFmtId="0" fontId="23" fillId="0" borderId="11" xfId="0" applyFont="1" applyBorder="1" applyAlignment="1" applyProtection="1">
      <alignment horizontal="center" vertical="center" wrapText="1"/>
      <protection locked="0"/>
    </xf>
    <xf numFmtId="0" fontId="24" fillId="0" borderId="21" xfId="0" applyFont="1" applyBorder="1" applyAlignment="1" applyProtection="1">
      <alignment horizontal="center" vertical="center" wrapText="1"/>
      <protection locked="0"/>
    </xf>
    <xf numFmtId="0" fontId="23" fillId="0" borderId="3" xfId="0" applyFont="1" applyBorder="1" applyAlignment="1" applyProtection="1">
      <alignment horizontal="center" vertical="center" wrapText="1"/>
      <protection locked="0"/>
    </xf>
    <xf numFmtId="0" fontId="23" fillId="0" borderId="15" xfId="0" applyFont="1" applyBorder="1" applyAlignment="1" applyProtection="1">
      <alignment vertical="center"/>
      <protection locked="0"/>
    </xf>
    <xf numFmtId="0" fontId="23" fillId="0" borderId="26" xfId="0" applyFont="1" applyBorder="1" applyAlignment="1" applyProtection="1">
      <alignment horizontal="center" vertical="center" wrapText="1"/>
      <protection locked="0"/>
    </xf>
    <xf numFmtId="0" fontId="23" fillId="0" borderId="7" xfId="0" applyFont="1" applyBorder="1" applyAlignment="1" applyProtection="1">
      <alignment horizontal="center" vertical="center" wrapText="1"/>
      <protection locked="0"/>
    </xf>
    <xf numFmtId="2" fontId="23" fillId="0" borderId="0" xfId="0" applyNumberFormat="1" applyFont="1" applyAlignment="1">
      <alignment vertical="center"/>
    </xf>
    <xf numFmtId="0" fontId="2" fillId="0" borderId="34" xfId="2" applyFont="1" applyBorder="1"/>
    <xf numFmtId="0" fontId="1" fillId="0" borderId="22" xfId="2" applyBorder="1"/>
    <xf numFmtId="1" fontId="1" fillId="0" borderId="15" xfId="2" applyNumberFormat="1" applyBorder="1" applyAlignment="1">
      <alignment horizontal="center"/>
    </xf>
    <xf numFmtId="0" fontId="2" fillId="0" borderId="23" xfId="2" applyFont="1" applyBorder="1" applyAlignment="1">
      <alignment horizontal="center"/>
    </xf>
    <xf numFmtId="0" fontId="1" fillId="0" borderId="0" xfId="2"/>
    <xf numFmtId="0" fontId="1" fillId="0" borderId="48" xfId="2" applyBorder="1"/>
    <xf numFmtId="0" fontId="1" fillId="0" borderId="41" xfId="2" applyBorder="1" applyAlignment="1">
      <alignment horizontal="left"/>
    </xf>
    <xf numFmtId="0" fontId="1" fillId="0" borderId="15" xfId="2" applyBorder="1" applyAlignment="1">
      <alignment horizontal="center"/>
    </xf>
    <xf numFmtId="0" fontId="1" fillId="0" borderId="0" xfId="2" applyAlignment="1">
      <alignment horizontal="center"/>
    </xf>
    <xf numFmtId="2" fontId="1" fillId="0" borderId="16" xfId="2" applyNumberFormat="1" applyBorder="1" applyAlignment="1">
      <alignment horizontal="center"/>
    </xf>
    <xf numFmtId="2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0" fontId="1" fillId="0" borderId="16" xfId="2" applyBorder="1" applyAlignment="1">
      <alignment horizontal="center"/>
    </xf>
    <xf numFmtId="165" fontId="1" fillId="0" borderId="16" xfId="2" applyNumberFormat="1" applyBorder="1" applyAlignment="1">
      <alignment horizontal="center"/>
    </xf>
    <xf numFmtId="165" fontId="1" fillId="0" borderId="48" xfId="2" applyNumberFormat="1" applyBorder="1" applyAlignment="1">
      <alignment horizontal="center"/>
    </xf>
    <xf numFmtId="0" fontId="1" fillId="0" borderId="34" xfId="2" applyBorder="1" applyAlignment="1">
      <alignment horizontal="left"/>
    </xf>
    <xf numFmtId="0" fontId="1" fillId="0" borderId="22" xfId="2" applyBorder="1" applyAlignment="1">
      <alignment horizontal="center"/>
    </xf>
    <xf numFmtId="2" fontId="1" fillId="0" borderId="25" xfId="2" applyNumberFormat="1" applyBorder="1" applyAlignment="1">
      <alignment horizontal="center"/>
    </xf>
    <xf numFmtId="2" fontId="1" fillId="0" borderId="1" xfId="2" applyNumberFormat="1" applyBorder="1" applyAlignment="1">
      <alignment horizontal="center"/>
    </xf>
    <xf numFmtId="165" fontId="1" fillId="0" borderId="22" xfId="2" applyNumberFormat="1" applyBorder="1" applyAlignment="1">
      <alignment horizontal="center"/>
    </xf>
    <xf numFmtId="165" fontId="1" fillId="0" borderId="15" xfId="2" applyNumberFormat="1" applyBorder="1" applyAlignment="1">
      <alignment horizontal="center"/>
    </xf>
    <xf numFmtId="165" fontId="1" fillId="0" borderId="52" xfId="2" applyNumberFormat="1" applyBorder="1" applyAlignment="1">
      <alignment horizontal="center"/>
    </xf>
    <xf numFmtId="2" fontId="1" fillId="0" borderId="15" xfId="2" applyNumberFormat="1" applyBorder="1" applyAlignment="1">
      <alignment horizontal="center"/>
    </xf>
    <xf numFmtId="165" fontId="1" fillId="0" borderId="35" xfId="2" applyNumberFormat="1" applyBorder="1" applyAlignment="1">
      <alignment horizontal="center"/>
    </xf>
    <xf numFmtId="0" fontId="1" fillId="0" borderId="41" xfId="2" applyBorder="1"/>
    <xf numFmtId="2" fontId="1" fillId="0" borderId="26" xfId="2" applyNumberFormat="1" applyBorder="1" applyAlignment="1">
      <alignment horizontal="center"/>
    </xf>
    <xf numFmtId="2" fontId="1" fillId="0" borderId="17" xfId="2" applyNumberFormat="1" applyBorder="1" applyAlignment="1">
      <alignment horizontal="center"/>
    </xf>
    <xf numFmtId="0" fontId="13" fillId="0" borderId="47" xfId="2" applyFont="1" applyBorder="1"/>
    <xf numFmtId="0" fontId="2" fillId="0" borderId="0" xfId="2" applyFont="1"/>
    <xf numFmtId="2" fontId="2" fillId="0" borderId="0" xfId="2" applyNumberFormat="1" applyFont="1"/>
    <xf numFmtId="165" fontId="1" fillId="0" borderId="13" xfId="2" applyNumberFormat="1" applyBorder="1" applyAlignment="1">
      <alignment horizontal="center"/>
    </xf>
    <xf numFmtId="165" fontId="1" fillId="0" borderId="33" xfId="2" applyNumberFormat="1" applyBorder="1" applyAlignment="1">
      <alignment horizontal="center"/>
    </xf>
    <xf numFmtId="0" fontId="13" fillId="0" borderId="34" xfId="2" applyFont="1" applyBorder="1"/>
    <xf numFmtId="0" fontId="2" fillId="0" borderId="22" xfId="2" applyFont="1" applyBorder="1"/>
    <xf numFmtId="2" fontId="2" fillId="0" borderId="22" xfId="2" applyNumberFormat="1" applyFont="1" applyBorder="1"/>
    <xf numFmtId="0" fontId="33" fillId="0" borderId="22" xfId="2" applyFont="1" applyBorder="1"/>
    <xf numFmtId="165" fontId="1" fillId="0" borderId="18" xfId="2" applyNumberFormat="1" applyBorder="1" applyAlignment="1">
      <alignment horizontal="center"/>
    </xf>
    <xf numFmtId="165" fontId="1" fillId="0" borderId="52" xfId="2" applyNumberFormat="1" applyBorder="1"/>
    <xf numFmtId="165" fontId="1" fillId="0" borderId="48" xfId="2" applyNumberFormat="1" applyBorder="1"/>
    <xf numFmtId="0" fontId="13" fillId="0" borderId="42" xfId="2" applyFont="1" applyBorder="1"/>
    <xf numFmtId="0" fontId="2" fillId="0" borderId="17" xfId="2" applyFont="1" applyBorder="1"/>
    <xf numFmtId="2" fontId="2" fillId="0" borderId="17" xfId="2" applyNumberFormat="1" applyFont="1" applyBorder="1"/>
    <xf numFmtId="0" fontId="1" fillId="0" borderId="17" xfId="2" applyBorder="1"/>
    <xf numFmtId="164" fontId="2" fillId="0" borderId="43" xfId="2" applyNumberFormat="1" applyFont="1" applyBorder="1" applyAlignment="1">
      <alignment horizontal="center"/>
    </xf>
    <xf numFmtId="164" fontId="2" fillId="0" borderId="48" xfId="2" applyNumberFormat="1" applyFont="1" applyBorder="1" applyAlignment="1">
      <alignment horizontal="center"/>
    </xf>
    <xf numFmtId="0" fontId="1" fillId="0" borderId="60" xfId="0" applyFont="1" applyBorder="1"/>
    <xf numFmtId="0" fontId="1" fillId="0" borderId="53" xfId="0" applyFont="1" applyBorder="1"/>
    <xf numFmtId="0" fontId="1" fillId="0" borderId="64" xfId="0" applyFont="1" applyBorder="1"/>
    <xf numFmtId="0" fontId="21" fillId="2" borderId="0" xfId="0" applyFont="1" applyFill="1" applyAlignment="1" applyProtection="1">
      <alignment horizontal="right" vertical="center"/>
      <protection locked="0"/>
    </xf>
    <xf numFmtId="0" fontId="21" fillId="2" borderId="0" xfId="0" applyFont="1" applyFill="1" applyAlignment="1" applyProtection="1">
      <alignment horizontal="left" vertical="center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24" fillId="2" borderId="0" xfId="0" applyFont="1" applyFill="1" applyAlignment="1" applyProtection="1">
      <alignment vertical="center"/>
      <protection locked="0"/>
    </xf>
    <xf numFmtId="0" fontId="32" fillId="0" borderId="18" xfId="2" applyFont="1" applyBorder="1" applyAlignment="1">
      <alignment horizontal="center" vertical="center"/>
    </xf>
    <xf numFmtId="0" fontId="32" fillId="0" borderId="15" xfId="2" applyFont="1" applyBorder="1" applyAlignment="1">
      <alignment horizontal="center" vertical="center"/>
    </xf>
    <xf numFmtId="0" fontId="32" fillId="0" borderId="22" xfId="2" applyFont="1" applyBorder="1" applyAlignment="1">
      <alignment horizontal="center" vertical="center"/>
    </xf>
    <xf numFmtId="2" fontId="32" fillId="0" borderId="22" xfId="2" applyNumberFormat="1" applyFont="1" applyBorder="1" applyAlignment="1">
      <alignment horizontal="center" vertical="center"/>
    </xf>
    <xf numFmtId="0" fontId="32" fillId="0" borderId="23" xfId="2" applyFont="1" applyBorder="1" applyAlignment="1">
      <alignment horizontal="center" vertical="center"/>
    </xf>
    <xf numFmtId="9" fontId="24" fillId="0" borderId="0" xfId="0" quotePrefix="1" applyNumberFormat="1" applyFont="1" applyAlignment="1" applyProtection="1">
      <alignment vertical="center" wrapText="1"/>
      <protection locked="0"/>
    </xf>
    <xf numFmtId="9" fontId="28" fillId="0" borderId="0" xfId="0" quotePrefix="1" applyNumberFormat="1" applyFont="1" applyAlignment="1" applyProtection="1">
      <alignment vertical="center" wrapText="1"/>
      <protection locked="0"/>
    </xf>
    <xf numFmtId="0" fontId="24" fillId="0" borderId="0" xfId="0" quotePrefix="1" applyFont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30" fillId="0" borderId="0" xfId="0" quotePrefix="1" applyFont="1" applyAlignment="1" applyProtection="1">
      <alignment vertical="center"/>
      <protection locked="0"/>
    </xf>
    <xf numFmtId="0" fontId="37" fillId="0" borderId="0" xfId="0" applyFont="1" applyAlignment="1" applyProtection="1">
      <alignment vertical="center"/>
      <protection locked="0"/>
    </xf>
    <xf numFmtId="2" fontId="23" fillId="0" borderId="0" xfId="0" applyNumberFormat="1" applyFont="1" applyAlignment="1" applyProtection="1">
      <alignment vertical="center"/>
      <protection locked="0"/>
    </xf>
    <xf numFmtId="2" fontId="24" fillId="0" borderId="0" xfId="0" applyNumberFormat="1" applyFont="1" applyAlignment="1" applyProtection="1">
      <alignment vertical="center"/>
      <protection locked="0"/>
    </xf>
    <xf numFmtId="164" fontId="24" fillId="0" borderId="0" xfId="0" applyNumberFormat="1" applyFont="1" applyAlignment="1" applyProtection="1">
      <alignment vertical="center"/>
      <protection locked="0"/>
    </xf>
    <xf numFmtId="0" fontId="39" fillId="0" borderId="0" xfId="0" applyFont="1" applyAlignment="1">
      <alignment vertical="center"/>
    </xf>
    <xf numFmtId="0" fontId="23" fillId="2" borderId="0" xfId="2" applyFont="1" applyFill="1" applyAlignment="1" applyProtection="1">
      <alignment vertical="center"/>
      <protection locked="0"/>
    </xf>
    <xf numFmtId="0" fontId="23" fillId="0" borderId="0" xfId="2" applyFont="1" applyAlignment="1" applyProtection="1">
      <alignment vertical="center"/>
      <protection locked="0"/>
    </xf>
    <xf numFmtId="0" fontId="23" fillId="2" borderId="0" xfId="2" applyFont="1" applyFill="1" applyAlignment="1" applyProtection="1">
      <alignment horizontal="right" vertical="center"/>
      <protection locked="0"/>
    </xf>
    <xf numFmtId="0" fontId="24" fillId="2" borderId="0" xfId="2" applyFont="1" applyFill="1" applyAlignment="1" applyProtection="1">
      <alignment vertical="center"/>
      <protection locked="0"/>
    </xf>
    <xf numFmtId="0" fontId="42" fillId="0" borderId="0" xfId="0" applyFont="1" applyAlignment="1" applyProtection="1">
      <alignment horizontal="right" vertical="center"/>
      <protection locked="0"/>
    </xf>
    <xf numFmtId="2" fontId="2" fillId="0" borderId="13" xfId="2" applyNumberFormat="1" applyFont="1" applyBorder="1" applyAlignment="1">
      <alignment horizontal="center"/>
    </xf>
    <xf numFmtId="2" fontId="23" fillId="0" borderId="0" xfId="0" quotePrefix="1" applyNumberFormat="1" applyFont="1" applyAlignment="1" applyProtection="1">
      <alignment horizontal="center" vertical="center" wrapText="1"/>
      <protection locked="0"/>
    </xf>
    <xf numFmtId="174" fontId="2" fillId="2" borderId="1" xfId="1" applyNumberFormat="1" applyFont="1" applyFill="1" applyBorder="1" applyAlignment="1">
      <alignment horizontal="center" vertical="center"/>
    </xf>
    <xf numFmtId="174" fontId="2" fillId="2" borderId="1" xfId="1" applyNumberFormat="1" applyFont="1" applyFill="1" applyBorder="1" applyAlignment="1">
      <alignment horizontal="center"/>
    </xf>
    <xf numFmtId="174" fontId="2" fillId="2" borderId="53" xfId="1" applyNumberFormat="1" applyFont="1" applyFill="1" applyBorder="1" applyAlignment="1">
      <alignment horizontal="center" vertical="center"/>
    </xf>
    <xf numFmtId="0" fontId="21" fillId="2" borderId="0" xfId="0" applyFont="1" applyFill="1" applyAlignment="1" applyProtection="1">
      <alignment horizontal="center" vertical="center"/>
      <protection locked="0"/>
    </xf>
    <xf numFmtId="0" fontId="16" fillId="2" borderId="0" xfId="3" applyFont="1" applyFill="1" applyAlignment="1" applyProtection="1">
      <alignment vertical="center"/>
      <protection locked="0"/>
    </xf>
    <xf numFmtId="0" fontId="40" fillId="2" borderId="15" xfId="0" applyFont="1" applyFill="1" applyBorder="1" applyAlignment="1" applyProtection="1">
      <alignment horizontal="center" vertical="center" wrapText="1"/>
      <protection locked="0"/>
    </xf>
    <xf numFmtId="1" fontId="1" fillId="2" borderId="15" xfId="0" applyNumberFormat="1" applyFont="1" applyFill="1" applyBorder="1" applyAlignment="1">
      <alignment horizontal="center" vertical="center"/>
    </xf>
    <xf numFmtId="0" fontId="12" fillId="0" borderId="15" xfId="3" applyFont="1" applyBorder="1" applyAlignment="1" applyProtection="1">
      <alignment horizontal="center" vertical="center"/>
      <protection locked="0"/>
    </xf>
    <xf numFmtId="176" fontId="23" fillId="0" borderId="15" xfId="0" quotePrefix="1" applyNumberFormat="1" applyFont="1" applyBorder="1" applyAlignment="1">
      <alignment horizontal="center" vertical="center" wrapText="1"/>
    </xf>
    <xf numFmtId="0" fontId="46" fillId="0" borderId="47" xfId="0" applyFont="1" applyBorder="1"/>
    <xf numFmtId="0" fontId="46" fillId="0" borderId="48" xfId="0" applyFont="1" applyBorder="1"/>
    <xf numFmtId="0" fontId="47" fillId="0" borderId="34" xfId="2" applyFont="1" applyBorder="1"/>
    <xf numFmtId="0" fontId="46" fillId="0" borderId="22" xfId="2" applyFont="1" applyBorder="1"/>
    <xf numFmtId="1" fontId="46" fillId="0" borderId="15" xfId="2" applyNumberFormat="1" applyFont="1" applyBorder="1" applyAlignment="1">
      <alignment horizontal="center"/>
    </xf>
    <xf numFmtId="0" fontId="47" fillId="0" borderId="23" xfId="2" applyFont="1" applyBorder="1" applyAlignment="1">
      <alignment horizontal="center"/>
    </xf>
    <xf numFmtId="0" fontId="46" fillId="0" borderId="0" xfId="2" applyFont="1"/>
    <xf numFmtId="0" fontId="46" fillId="0" borderId="48" xfId="2" applyFont="1" applyBorder="1"/>
    <xf numFmtId="0" fontId="45" fillId="0" borderId="34" xfId="2" applyFont="1" applyBorder="1" applyAlignment="1">
      <alignment horizontal="center"/>
    </xf>
    <xf numFmtId="0" fontId="45" fillId="0" borderId="15" xfId="2" applyFont="1" applyBorder="1" applyAlignment="1">
      <alignment horizontal="center"/>
    </xf>
    <xf numFmtId="0" fontId="45" fillId="0" borderId="22" xfId="2" applyFont="1" applyBorder="1" applyAlignment="1">
      <alignment horizontal="center"/>
    </xf>
    <xf numFmtId="2" fontId="45" fillId="0" borderId="22" xfId="2" applyNumberFormat="1" applyFont="1" applyBorder="1" applyAlignment="1">
      <alignment horizontal="center"/>
    </xf>
    <xf numFmtId="0" fontId="45" fillId="0" borderId="52" xfId="2" applyFont="1" applyBorder="1" applyAlignment="1">
      <alignment horizontal="center"/>
    </xf>
    <xf numFmtId="0" fontId="46" fillId="0" borderId="41" xfId="2" applyFont="1" applyBorder="1" applyAlignment="1">
      <alignment horizontal="left"/>
    </xf>
    <xf numFmtId="0" fontId="46" fillId="0" borderId="15" xfId="2" applyFont="1" applyBorder="1" applyAlignment="1">
      <alignment horizontal="center"/>
    </xf>
    <xf numFmtId="0" fontId="46" fillId="0" borderId="0" xfId="2" applyFont="1" applyAlignment="1">
      <alignment horizontal="center"/>
    </xf>
    <xf numFmtId="2" fontId="46" fillId="0" borderId="16" xfId="2" applyNumberFormat="1" applyFont="1" applyBorder="1" applyAlignment="1">
      <alignment horizontal="center"/>
    </xf>
    <xf numFmtId="2" fontId="46" fillId="0" borderId="0" xfId="2" applyNumberFormat="1" applyFont="1" applyAlignment="1">
      <alignment horizontal="center"/>
    </xf>
    <xf numFmtId="165" fontId="46" fillId="0" borderId="0" xfId="2" applyNumberFormat="1" applyFont="1" applyAlignment="1">
      <alignment horizontal="center"/>
    </xf>
    <xf numFmtId="0" fontId="46" fillId="0" borderId="16" xfId="2" applyFont="1" applyBorder="1" applyAlignment="1">
      <alignment horizontal="center"/>
    </xf>
    <xf numFmtId="165" fontId="46" fillId="0" borderId="16" xfId="2" applyNumberFormat="1" applyFont="1" applyBorder="1" applyAlignment="1">
      <alignment horizontal="center"/>
    </xf>
    <xf numFmtId="165" fontId="46" fillId="0" borderId="48" xfId="2" applyNumberFormat="1" applyFont="1" applyBorder="1" applyAlignment="1">
      <alignment horizontal="center"/>
    </xf>
    <xf numFmtId="0" fontId="46" fillId="0" borderId="34" xfId="2" applyFont="1" applyBorder="1" applyAlignment="1">
      <alignment horizontal="left"/>
    </xf>
    <xf numFmtId="0" fontId="46" fillId="0" borderId="22" xfId="2" applyFont="1" applyBorder="1" applyAlignment="1">
      <alignment horizontal="center"/>
    </xf>
    <xf numFmtId="2" fontId="46" fillId="0" borderId="25" xfId="2" applyNumberFormat="1" applyFont="1" applyBorder="1" applyAlignment="1">
      <alignment horizontal="center"/>
    </xf>
    <xf numFmtId="2" fontId="46" fillId="0" borderId="1" xfId="2" applyNumberFormat="1" applyFont="1" applyBorder="1" applyAlignment="1">
      <alignment horizontal="center"/>
    </xf>
    <xf numFmtId="165" fontId="46" fillId="0" borderId="22" xfId="2" applyNumberFormat="1" applyFont="1" applyBorder="1" applyAlignment="1">
      <alignment horizontal="center"/>
    </xf>
    <xf numFmtId="165" fontId="46" fillId="0" borderId="15" xfId="2" applyNumberFormat="1" applyFont="1" applyBorder="1" applyAlignment="1">
      <alignment horizontal="center"/>
    </xf>
    <xf numFmtId="165" fontId="46" fillId="0" borderId="52" xfId="2" applyNumberFormat="1" applyFont="1" applyBorder="1" applyAlignment="1">
      <alignment horizontal="center"/>
    </xf>
    <xf numFmtId="2" fontId="46" fillId="0" borderId="15" xfId="2" applyNumberFormat="1" applyFont="1" applyBorder="1" applyAlignment="1">
      <alignment horizontal="center"/>
    </xf>
    <xf numFmtId="165" fontId="46" fillId="0" borderId="35" xfId="2" applyNumberFormat="1" applyFont="1" applyBorder="1" applyAlignment="1">
      <alignment horizontal="center"/>
    </xf>
    <xf numFmtId="0" fontId="46" fillId="0" borderId="41" xfId="2" applyFont="1" applyBorder="1"/>
    <xf numFmtId="2" fontId="46" fillId="0" borderId="26" xfId="2" applyNumberFormat="1" applyFont="1" applyBorder="1" applyAlignment="1">
      <alignment horizontal="center"/>
    </xf>
    <xf numFmtId="2" fontId="46" fillId="0" borderId="17" xfId="2" applyNumberFormat="1" applyFont="1" applyBorder="1" applyAlignment="1">
      <alignment horizontal="center"/>
    </xf>
    <xf numFmtId="0" fontId="45" fillId="0" borderId="47" xfId="2" applyFont="1" applyBorder="1"/>
    <xf numFmtId="0" fontId="47" fillId="0" borderId="0" xfId="2" applyFont="1"/>
    <xf numFmtId="2" fontId="47" fillId="0" borderId="0" xfId="2" applyNumberFormat="1" applyFont="1"/>
    <xf numFmtId="165" fontId="46" fillId="0" borderId="13" xfId="2" applyNumberFormat="1" applyFont="1" applyBorder="1" applyAlignment="1">
      <alignment horizontal="center"/>
    </xf>
    <xf numFmtId="165" fontId="46" fillId="0" borderId="33" xfId="2" applyNumberFormat="1" applyFont="1" applyBorder="1" applyAlignment="1">
      <alignment horizontal="center"/>
    </xf>
    <xf numFmtId="0" fontId="45" fillId="0" borderId="34" xfId="2" applyFont="1" applyBorder="1"/>
    <xf numFmtId="0" fontId="47" fillId="0" borderId="22" xfId="2" applyFont="1" applyBorder="1"/>
    <xf numFmtId="2" fontId="47" fillId="0" borderId="22" xfId="2" applyNumberFormat="1" applyFont="1" applyBorder="1"/>
    <xf numFmtId="0" fontId="48" fillId="0" borderId="22" xfId="2" applyFont="1" applyBorder="1"/>
    <xf numFmtId="165" fontId="46" fillId="0" borderId="18" xfId="2" applyNumberFormat="1" applyFont="1" applyBorder="1" applyAlignment="1">
      <alignment horizontal="center"/>
    </xf>
    <xf numFmtId="165" fontId="46" fillId="0" borderId="52" xfId="2" applyNumberFormat="1" applyFont="1" applyBorder="1"/>
    <xf numFmtId="165" fontId="46" fillId="0" borderId="48" xfId="2" applyNumberFormat="1" applyFont="1" applyBorder="1"/>
    <xf numFmtId="0" fontId="45" fillId="0" borderId="42" xfId="2" applyFont="1" applyBorder="1"/>
    <xf numFmtId="0" fontId="47" fillId="0" borderId="17" xfId="2" applyFont="1" applyBorder="1"/>
    <xf numFmtId="2" fontId="47" fillId="0" borderId="17" xfId="2" applyNumberFormat="1" applyFont="1" applyBorder="1"/>
    <xf numFmtId="0" fontId="46" fillId="0" borderId="17" xfId="2" applyFont="1" applyBorder="1"/>
    <xf numFmtId="2" fontId="47" fillId="0" borderId="19" xfId="2" applyNumberFormat="1" applyFont="1" applyBorder="1" applyAlignment="1">
      <alignment horizontal="center"/>
    </xf>
    <xf numFmtId="164" fontId="47" fillId="0" borderId="43" xfId="2" applyNumberFormat="1" applyFont="1" applyBorder="1" applyAlignment="1">
      <alignment horizontal="center"/>
    </xf>
    <xf numFmtId="164" fontId="47" fillId="0" borderId="48" xfId="2" applyNumberFormat="1" applyFont="1" applyBorder="1" applyAlignment="1">
      <alignment horizontal="center"/>
    </xf>
    <xf numFmtId="0" fontId="45" fillId="0" borderId="49" xfId="2" applyFont="1" applyBorder="1"/>
    <xf numFmtId="0" fontId="47" fillId="0" borderId="50" xfId="2" applyFont="1" applyBorder="1"/>
    <xf numFmtId="2" fontId="47" fillId="0" borderId="50" xfId="2" applyNumberFormat="1" applyFont="1" applyBorder="1"/>
    <xf numFmtId="0" fontId="46" fillId="0" borderId="50" xfId="2" applyFont="1" applyBorder="1"/>
    <xf numFmtId="2" fontId="47" fillId="0" borderId="63" xfId="2" applyNumberFormat="1" applyFont="1" applyBorder="1" applyAlignment="1">
      <alignment horizontal="center"/>
    </xf>
    <xf numFmtId="164" fontId="47" fillId="0" borderId="51" xfId="2" applyNumberFormat="1" applyFont="1" applyBorder="1" applyAlignment="1">
      <alignment horizontal="center"/>
    </xf>
    <xf numFmtId="0" fontId="50" fillId="0" borderId="0" xfId="0" applyFont="1" applyProtection="1">
      <protection locked="0"/>
    </xf>
    <xf numFmtId="0" fontId="23" fillId="2" borderId="0" xfId="3" applyFont="1" applyFill="1" applyAlignment="1" applyProtection="1">
      <alignment vertical="center"/>
      <protection locked="0"/>
    </xf>
    <xf numFmtId="0" fontId="31" fillId="0" borderId="0" xfId="0" applyFont="1" applyProtection="1">
      <protection locked="0"/>
    </xf>
    <xf numFmtId="0" fontId="24" fillId="2" borderId="0" xfId="3" applyFont="1" applyFill="1" applyAlignment="1" applyProtection="1">
      <alignment vertical="center"/>
      <protection locked="0"/>
    </xf>
    <xf numFmtId="0" fontId="24" fillId="0" borderId="26" xfId="0" applyFont="1" applyBorder="1" applyAlignment="1">
      <alignment horizontal="center" vertical="center" wrapText="1"/>
    </xf>
    <xf numFmtId="165" fontId="29" fillId="0" borderId="2" xfId="0" applyNumberFormat="1" applyFont="1" applyBorder="1" applyAlignment="1">
      <alignment horizontal="left" vertical="center"/>
    </xf>
    <xf numFmtId="0" fontId="23" fillId="2" borderId="0" xfId="0" applyFont="1" applyFill="1" applyAlignment="1" applyProtection="1">
      <alignment vertical="top" wrapText="1"/>
      <protection locked="0"/>
    </xf>
    <xf numFmtId="0" fontId="32" fillId="0" borderId="34" xfId="2" applyFont="1" applyBorder="1" applyAlignment="1">
      <alignment horizontal="center" vertical="center"/>
    </xf>
    <xf numFmtId="0" fontId="32" fillId="0" borderId="52" xfId="2" applyFont="1" applyBorder="1" applyAlignment="1">
      <alignment horizontal="center" vertical="center"/>
    </xf>
    <xf numFmtId="0" fontId="47" fillId="0" borderId="42" xfId="2" applyFont="1" applyBorder="1"/>
    <xf numFmtId="1" fontId="46" fillId="0" borderId="26" xfId="2" applyNumberFormat="1" applyFont="1" applyBorder="1" applyAlignment="1">
      <alignment horizontal="center"/>
    </xf>
    <xf numFmtId="0" fontId="47" fillId="0" borderId="24" xfId="2" applyFont="1" applyBorder="1" applyAlignment="1">
      <alignment horizontal="center"/>
    </xf>
    <xf numFmtId="0" fontId="46" fillId="0" borderId="0" xfId="0" applyFont="1"/>
    <xf numFmtId="2" fontId="47" fillId="0" borderId="0" xfId="2" applyNumberFormat="1" applyFont="1" applyAlignment="1">
      <alignment horizontal="center"/>
    </xf>
    <xf numFmtId="0" fontId="46" fillId="0" borderId="49" xfId="0" applyFont="1" applyBorder="1"/>
    <xf numFmtId="0" fontId="46" fillId="0" borderId="50" xfId="0" applyFont="1" applyBorder="1"/>
    <xf numFmtId="0" fontId="46" fillId="0" borderId="51" xfId="0" applyFont="1" applyBorder="1"/>
    <xf numFmtId="0" fontId="23" fillId="0" borderId="15" xfId="0" applyFont="1" applyBorder="1" applyAlignment="1" applyProtection="1">
      <alignment horizontal="center" vertical="center"/>
      <protection locked="0"/>
    </xf>
    <xf numFmtId="0" fontId="16" fillId="13" borderId="15" xfId="0" applyFont="1" applyFill="1" applyBorder="1" applyAlignment="1" applyProtection="1">
      <alignment horizontal="center" vertical="center" wrapText="1"/>
      <protection locked="0"/>
    </xf>
    <xf numFmtId="180" fontId="16" fillId="13" borderId="15" xfId="0" applyNumberFormat="1" applyFont="1" applyFill="1" applyBorder="1" applyAlignment="1" applyProtection="1">
      <alignment horizontal="center" vertical="center" wrapText="1"/>
      <protection locked="0"/>
    </xf>
    <xf numFmtId="166" fontId="51" fillId="2" borderId="15" xfId="0" applyNumberFormat="1" applyFont="1" applyFill="1" applyBorder="1" applyAlignment="1" applyProtection="1">
      <alignment horizontal="center" vertical="center" wrapText="1"/>
      <protection locked="0"/>
    </xf>
    <xf numFmtId="1" fontId="23" fillId="0" borderId="0" xfId="0" applyNumberFormat="1" applyFont="1" applyAlignment="1" applyProtection="1">
      <alignment horizontal="center" vertical="center"/>
      <protection locked="0"/>
    </xf>
    <xf numFmtId="0" fontId="23" fillId="0" borderId="0" xfId="0" quotePrefix="1" applyFont="1" applyAlignment="1" applyProtection="1">
      <alignment horizontal="center" vertical="center" wrapText="1"/>
      <protection locked="0"/>
    </xf>
    <xf numFmtId="0" fontId="52" fillId="0" borderId="57" xfId="0" applyFont="1" applyBorder="1" applyAlignment="1" applyProtection="1">
      <alignment horizontal="center" vertical="center" wrapText="1"/>
      <protection locked="0"/>
    </xf>
    <xf numFmtId="0" fontId="52" fillId="2" borderId="59" xfId="0" applyFont="1" applyFill="1" applyBorder="1" applyAlignment="1" applyProtection="1">
      <alignment horizontal="center" vertical="center" wrapText="1"/>
      <protection locked="0"/>
    </xf>
    <xf numFmtId="166" fontId="52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vertical="center" wrapText="1"/>
    </xf>
    <xf numFmtId="0" fontId="23" fillId="2" borderId="0" xfId="0" quotePrefix="1" applyFont="1" applyFill="1" applyAlignment="1" applyProtection="1">
      <alignment horizontal="left" vertical="center"/>
      <protection locked="0"/>
    </xf>
    <xf numFmtId="0" fontId="23" fillId="2" borderId="0" xfId="0" applyFont="1" applyFill="1" applyAlignment="1" applyProtection="1">
      <alignment horizontal="left" vertical="center"/>
      <protection locked="0"/>
    </xf>
    <xf numFmtId="0" fontId="24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>
      <alignment horizontal="center"/>
    </xf>
    <xf numFmtId="0" fontId="1" fillId="2" borderId="12" xfId="0" applyFont="1" applyFill="1" applyBorder="1" applyAlignment="1">
      <alignment vertical="center"/>
    </xf>
    <xf numFmtId="0" fontId="1" fillId="0" borderId="21" xfId="0" applyFont="1" applyBorder="1"/>
    <xf numFmtId="0" fontId="1" fillId="0" borderId="5" xfId="0" applyFont="1" applyBorder="1"/>
    <xf numFmtId="0" fontId="34" fillId="0" borderId="21" xfId="0" quotePrefix="1" applyFont="1" applyBorder="1" applyAlignment="1">
      <alignment horizontal="left"/>
    </xf>
    <xf numFmtId="0" fontId="1" fillId="0" borderId="4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horizontal="center"/>
    </xf>
    <xf numFmtId="0" fontId="34" fillId="0" borderId="5" xfId="0" quotePrefix="1" applyFont="1" applyBorder="1" applyAlignment="1">
      <alignment horizontal="left"/>
    </xf>
    <xf numFmtId="0" fontId="1" fillId="0" borderId="9" xfId="0" applyFont="1" applyBorder="1"/>
    <xf numFmtId="0" fontId="34" fillId="0" borderId="9" xfId="0" quotePrefix="1" applyFont="1" applyBorder="1" applyAlignment="1">
      <alignment horizontal="left"/>
    </xf>
    <xf numFmtId="0" fontId="1" fillId="0" borderId="8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3" fillId="0" borderId="3" xfId="0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0" borderId="12" xfId="0" applyFont="1" applyBorder="1" applyAlignment="1">
      <alignment horizontal="right" vertical="center" wrapText="1"/>
    </xf>
    <xf numFmtId="0" fontId="1" fillId="0" borderId="14" xfId="0" applyFont="1" applyBorder="1" applyAlignment="1">
      <alignment horizontal="center" vertical="center" wrapText="1"/>
    </xf>
    <xf numFmtId="177" fontId="1" fillId="0" borderId="12" xfId="0" applyNumberFormat="1" applyFont="1" applyBorder="1" applyAlignment="1">
      <alignment horizontal="right" vertical="center" wrapText="1"/>
    </xf>
    <xf numFmtId="0" fontId="1" fillId="0" borderId="14" xfId="0" applyFont="1" applyBorder="1" applyAlignment="1">
      <alignment vertical="center" wrapText="1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0" fontId="39" fillId="2" borderId="5" xfId="0" applyFont="1" applyFill="1" applyBorder="1" applyAlignment="1">
      <alignment horizontal="right" vertical="center" wrapText="1"/>
    </xf>
    <xf numFmtId="0" fontId="39" fillId="2" borderId="9" xfId="0" applyFont="1" applyFill="1" applyBorder="1" applyAlignment="1">
      <alignment horizontal="right" vertical="center" wrapText="1"/>
    </xf>
    <xf numFmtId="0" fontId="23" fillId="0" borderId="14" xfId="0" applyFont="1" applyBorder="1" applyAlignment="1" applyProtection="1">
      <alignment vertical="center"/>
      <protection locked="0"/>
    </xf>
    <xf numFmtId="0" fontId="23" fillId="0" borderId="10" xfId="0" applyFont="1" applyBorder="1" applyAlignment="1" applyProtection="1">
      <alignment vertical="center"/>
      <protection locked="0"/>
    </xf>
    <xf numFmtId="0" fontId="1" fillId="0" borderId="7" xfId="0" applyFont="1" applyBorder="1" applyAlignment="1">
      <alignment horizontal="center"/>
    </xf>
    <xf numFmtId="0" fontId="1" fillId="2" borderId="8" xfId="0" applyFont="1" applyFill="1" applyBorder="1" applyAlignment="1">
      <alignment vertical="center"/>
    </xf>
    <xf numFmtId="1" fontId="1" fillId="2" borderId="7" xfId="0" applyNumberFormat="1" applyFont="1" applyFill="1" applyBorder="1" applyAlignment="1">
      <alignment horizontal="center" vertical="center"/>
    </xf>
    <xf numFmtId="0" fontId="23" fillId="2" borderId="0" xfId="0" applyFont="1" applyFill="1"/>
    <xf numFmtId="0" fontId="18" fillId="0" borderId="0" xfId="0" applyFont="1" applyAlignment="1" applyProtection="1">
      <alignment horizontal="center" vertical="center"/>
      <protection locked="0"/>
    </xf>
    <xf numFmtId="2" fontId="43" fillId="11" borderId="15" xfId="0" quotePrefix="1" applyNumberFormat="1" applyFont="1" applyFill="1" applyBorder="1" applyAlignment="1" applyProtection="1">
      <alignment horizontal="center" vertical="center"/>
      <protection locked="0"/>
    </xf>
    <xf numFmtId="2" fontId="43" fillId="11" borderId="11" xfId="0" applyNumberFormat="1" applyFont="1" applyFill="1" applyBorder="1" applyAlignment="1" applyProtection="1">
      <alignment horizontal="center" vertical="center"/>
      <protection locked="0"/>
    </xf>
    <xf numFmtId="2" fontId="43" fillId="11" borderId="3" xfId="0" applyNumberFormat="1" applyFont="1" applyFill="1" applyBorder="1" applyAlignment="1" applyProtection="1">
      <alignment horizontal="center" vertical="center"/>
      <protection locked="0"/>
    </xf>
    <xf numFmtId="2" fontId="43" fillId="11" borderId="7" xfId="0" applyNumberFormat="1" applyFont="1" applyFill="1" applyBorder="1" applyAlignment="1" applyProtection="1">
      <alignment horizontal="center" vertical="center"/>
      <protection locked="0"/>
    </xf>
    <xf numFmtId="164" fontId="43" fillId="11" borderId="4" xfId="0" quotePrefix="1" applyNumberFormat="1" applyFont="1" applyFill="1" applyBorder="1" applyAlignment="1" applyProtection="1">
      <alignment horizontal="right" vertical="center" wrapText="1"/>
      <protection locked="0"/>
    </xf>
    <xf numFmtId="166" fontId="43" fillId="11" borderId="8" xfId="0" quotePrefix="1" applyNumberFormat="1" applyFont="1" applyFill="1" applyBorder="1" applyAlignment="1" applyProtection="1">
      <alignment horizontal="right" vertical="center" wrapText="1"/>
      <protection locked="0"/>
    </xf>
    <xf numFmtId="166" fontId="43" fillId="11" borderId="12" xfId="0" quotePrefix="1" applyNumberFormat="1" applyFont="1" applyFill="1" applyBorder="1" applyAlignment="1" applyProtection="1">
      <alignment horizontal="right" vertical="center" wrapText="1"/>
      <protection locked="0"/>
    </xf>
    <xf numFmtId="0" fontId="43" fillId="11" borderId="0" xfId="0" applyFont="1" applyFill="1" applyAlignment="1" applyProtection="1">
      <alignment vertical="center"/>
      <protection locked="0"/>
    </xf>
    <xf numFmtId="166" fontId="43" fillId="11" borderId="0" xfId="3" quotePrefix="1" applyNumberFormat="1" applyFont="1" applyFill="1" applyAlignment="1" applyProtection="1">
      <alignment horizontal="center" vertical="center"/>
      <protection locked="0"/>
    </xf>
    <xf numFmtId="166" fontId="43" fillId="11" borderId="15" xfId="3" applyNumberFormat="1" applyFont="1" applyFill="1" applyBorder="1" applyAlignment="1" applyProtection="1">
      <alignment horizontal="center" vertical="center"/>
      <protection locked="0"/>
    </xf>
    <xf numFmtId="0" fontId="24" fillId="2" borderId="15" xfId="0" applyFont="1" applyFill="1" applyBorder="1" applyAlignment="1">
      <alignment horizontal="left"/>
    </xf>
    <xf numFmtId="1" fontId="1" fillId="2" borderId="15" xfId="0" applyNumberFormat="1" applyFont="1" applyFill="1" applyBorder="1" applyAlignment="1">
      <alignment horizontal="center"/>
    </xf>
    <xf numFmtId="173" fontId="1" fillId="0" borderId="15" xfId="0" applyNumberFormat="1" applyFont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2" borderId="15" xfId="0" applyFont="1" applyFill="1" applyBorder="1" applyAlignment="1">
      <alignment horizontal="center" vertical="center"/>
    </xf>
    <xf numFmtId="164" fontId="1" fillId="0" borderId="16" xfId="2" applyNumberFormat="1" applyBorder="1" applyAlignment="1">
      <alignment horizontal="center"/>
    </xf>
    <xf numFmtId="164" fontId="1" fillId="0" borderId="25" xfId="2" applyNumberFormat="1" applyBorder="1" applyAlignment="1">
      <alignment horizontal="center"/>
    </xf>
    <xf numFmtId="164" fontId="1" fillId="0" borderId="15" xfId="2" applyNumberFormat="1" applyBorder="1" applyAlignment="1">
      <alignment horizontal="center"/>
    </xf>
    <xf numFmtId="164" fontId="1" fillId="0" borderId="26" xfId="2" applyNumberFormat="1" applyBorder="1" applyAlignment="1">
      <alignment horizontal="center"/>
    </xf>
    <xf numFmtId="164" fontId="23" fillId="0" borderId="0" xfId="0" applyNumberFormat="1" applyFont="1" applyAlignment="1">
      <alignment vertical="center"/>
    </xf>
    <xf numFmtId="173" fontId="23" fillId="0" borderId="0" xfId="0" applyNumberFormat="1" applyFont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64" fontId="24" fillId="0" borderId="0" xfId="0" applyNumberFormat="1" applyFont="1" applyAlignment="1">
      <alignment vertical="center"/>
    </xf>
    <xf numFmtId="166" fontId="23" fillId="0" borderId="0" xfId="0" applyNumberFormat="1" applyFont="1" applyAlignment="1">
      <alignment horizontal="left" vertical="center"/>
    </xf>
    <xf numFmtId="2" fontId="23" fillId="0" borderId="0" xfId="0" applyNumberFormat="1" applyFont="1" applyAlignment="1">
      <alignment horizontal="center" vertical="center"/>
    </xf>
    <xf numFmtId="0" fontId="40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5" fillId="0" borderId="0" xfId="0" quotePrefix="1" applyFont="1" applyAlignment="1">
      <alignment horizontal="left" vertical="center"/>
    </xf>
    <xf numFmtId="0" fontId="2" fillId="0" borderId="15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left" vertical="center"/>
    </xf>
    <xf numFmtId="0" fontId="24" fillId="0" borderId="21" xfId="0" applyFont="1" applyBorder="1" applyAlignment="1">
      <alignment horizontal="center" vertical="center" wrapText="1"/>
    </xf>
    <xf numFmtId="0" fontId="23" fillId="0" borderId="21" xfId="0" applyFont="1" applyBorder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5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8" xfId="0" applyFont="1" applyBorder="1" applyAlignment="1">
      <alignment horizontal="left" vertical="center"/>
    </xf>
    <xf numFmtId="0" fontId="23" fillId="0" borderId="9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2" fontId="23" fillId="0" borderId="11" xfId="0" applyNumberFormat="1" applyFont="1" applyBorder="1" applyAlignment="1">
      <alignment horizontal="center" vertical="center" wrapText="1"/>
    </xf>
    <xf numFmtId="2" fontId="23" fillId="0" borderId="11" xfId="1" applyNumberFormat="1" applyFont="1" applyBorder="1" applyAlignment="1" applyProtection="1">
      <alignment horizontal="center" vertical="center" wrapText="1"/>
    </xf>
    <xf numFmtId="2" fontId="23" fillId="0" borderId="3" xfId="0" applyNumberFormat="1" applyFont="1" applyBorder="1" applyAlignment="1">
      <alignment horizontal="center" vertical="center" wrapText="1"/>
    </xf>
    <xf numFmtId="2" fontId="23" fillId="0" borderId="3" xfId="1" applyNumberFormat="1" applyFont="1" applyBorder="1" applyAlignment="1" applyProtection="1">
      <alignment horizontal="center" vertical="center" wrapText="1"/>
    </xf>
    <xf numFmtId="2" fontId="23" fillId="0" borderId="7" xfId="0" applyNumberFormat="1" applyFont="1" applyBorder="1" applyAlignment="1">
      <alignment horizontal="center" vertical="center" wrapText="1"/>
    </xf>
    <xf numFmtId="2" fontId="23" fillId="0" borderId="7" xfId="1" applyNumberFormat="1" applyFont="1" applyBorder="1" applyAlignment="1" applyProtection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2" fontId="23" fillId="0" borderId="0" xfId="0" applyNumberFormat="1" applyFont="1" applyAlignment="1">
      <alignment horizontal="center" vertical="center" wrapText="1"/>
    </xf>
    <xf numFmtId="2" fontId="23" fillId="0" borderId="0" xfId="1" applyNumberFormat="1" applyFont="1" applyBorder="1" applyAlignment="1" applyProtection="1">
      <alignment horizontal="center" vertical="center" wrapText="1"/>
    </xf>
    <xf numFmtId="175" fontId="23" fillId="0" borderId="0" xfId="0" quotePrefix="1" applyNumberFormat="1" applyFont="1" applyAlignment="1">
      <alignment horizontal="center" vertical="center" wrapText="1"/>
    </xf>
    <xf numFmtId="179" fontId="23" fillId="0" borderId="0" xfId="0" applyNumberFormat="1" applyFont="1" applyAlignment="1">
      <alignment horizontal="center" vertical="center" wrapText="1"/>
    </xf>
    <xf numFmtId="2" fontId="1" fillId="2" borderId="0" xfId="1" applyNumberFormat="1" applyFont="1" applyFill="1" applyBorder="1" applyAlignment="1" applyProtection="1">
      <alignment horizontal="center" vertical="center" wrapText="1"/>
    </xf>
    <xf numFmtId="1" fontId="1" fillId="2" borderId="0" xfId="0" applyNumberFormat="1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2" fontId="1" fillId="2" borderId="71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2" fontId="23" fillId="0" borderId="1" xfId="0" applyNumberFormat="1" applyFont="1" applyBorder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3" fillId="0" borderId="0" xfId="1" applyNumberFormat="1" applyFont="1" applyAlignment="1" applyProtection="1">
      <alignment horizontal="center" vertical="center"/>
    </xf>
    <xf numFmtId="166" fontId="23" fillId="2" borderId="15" xfId="0" applyNumberFormat="1" applyFont="1" applyFill="1" applyBorder="1" applyAlignment="1">
      <alignment horizontal="center" vertical="center"/>
    </xf>
    <xf numFmtId="0" fontId="23" fillId="2" borderId="18" xfId="0" applyFont="1" applyFill="1" applyBorder="1" applyAlignment="1">
      <alignment horizontal="left" vertical="center"/>
    </xf>
    <xf numFmtId="0" fontId="23" fillId="2" borderId="22" xfId="0" applyFont="1" applyFill="1" applyBorder="1" applyAlignment="1">
      <alignment horizontal="left" vertical="center"/>
    </xf>
    <xf numFmtId="0" fontId="23" fillId="0" borderId="23" xfId="0" applyFont="1" applyBorder="1" applyAlignment="1">
      <alignment vertical="center"/>
    </xf>
    <xf numFmtId="0" fontId="23" fillId="2" borderId="15" xfId="0" applyFont="1" applyFill="1" applyBorder="1" applyAlignment="1">
      <alignment vertical="center"/>
    </xf>
    <xf numFmtId="166" fontId="23" fillId="0" borderId="0" xfId="0" applyNumberFormat="1" applyFont="1" applyAlignment="1">
      <alignment vertical="center"/>
    </xf>
    <xf numFmtId="0" fontId="24" fillId="0" borderId="0" xfId="0" applyFont="1" applyAlignment="1">
      <alignment vertical="center" wrapText="1"/>
    </xf>
    <xf numFmtId="165" fontId="23" fillId="2" borderId="18" xfId="0" applyNumberFormat="1" applyFont="1" applyFill="1" applyBorder="1" applyAlignment="1">
      <alignment horizontal="left" vertical="center"/>
    </xf>
    <xf numFmtId="165" fontId="23" fillId="2" borderId="22" xfId="0" applyNumberFormat="1" applyFont="1" applyFill="1" applyBorder="1" applyAlignment="1">
      <alignment horizontal="center" vertical="center"/>
    </xf>
    <xf numFmtId="0" fontId="23" fillId="2" borderId="18" xfId="0" applyFont="1" applyFill="1" applyBorder="1" applyAlignment="1">
      <alignment horizontal="center" vertical="center"/>
    </xf>
    <xf numFmtId="165" fontId="24" fillId="0" borderId="0" xfId="0" applyNumberFormat="1" applyFont="1" applyAlignment="1">
      <alignment vertical="center" wrapText="1"/>
    </xf>
    <xf numFmtId="165" fontId="23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left" vertical="center"/>
    </xf>
    <xf numFmtId="166" fontId="23" fillId="0" borderId="0" xfId="0" applyNumberFormat="1" applyFont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166" fontId="23" fillId="0" borderId="0" xfId="0" applyNumberFormat="1" applyFont="1" applyAlignment="1">
      <alignment horizontal="righ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75" fontId="1" fillId="0" borderId="0" xfId="0" quotePrefix="1" applyNumberFormat="1" applyFont="1" applyAlignment="1">
      <alignment horizontal="center" vertical="center" wrapText="1"/>
    </xf>
    <xf numFmtId="179" fontId="1" fillId="0" borderId="0" xfId="0" applyNumberFormat="1" applyFont="1" applyAlignment="1">
      <alignment horizontal="center" vertical="center" wrapText="1"/>
    </xf>
    <xf numFmtId="166" fontId="24" fillId="0" borderId="0" xfId="0" quotePrefix="1" applyNumberFormat="1" applyFont="1" applyAlignment="1">
      <alignment vertical="center" wrapText="1"/>
    </xf>
    <xf numFmtId="0" fontId="1" fillId="0" borderId="26" xfId="0" applyFont="1" applyBorder="1" applyAlignment="1">
      <alignment horizontal="center" vertical="center" wrapText="1"/>
    </xf>
    <xf numFmtId="2" fontId="23" fillId="0" borderId="0" xfId="0" applyNumberFormat="1" applyFont="1" applyAlignment="1">
      <alignment horizontal="left" vertical="center" wrapText="1"/>
    </xf>
    <xf numFmtId="9" fontId="28" fillId="0" borderId="0" xfId="0" quotePrefix="1" applyNumberFormat="1" applyFont="1" applyAlignment="1">
      <alignment vertical="center" wrapText="1"/>
    </xf>
    <xf numFmtId="2" fontId="28" fillId="0" borderId="0" xfId="0" quotePrefix="1" applyNumberFormat="1" applyFont="1" applyAlignment="1">
      <alignment horizontal="right" vertical="center" wrapText="1"/>
    </xf>
    <xf numFmtId="0" fontId="1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6" fillId="7" borderId="35" xfId="0" applyNumberFormat="1" applyFont="1" applyFill="1" applyBorder="1" applyAlignment="1">
      <alignment horizontal="center" vertical="center"/>
    </xf>
    <xf numFmtId="2" fontId="6" fillId="7" borderId="35" xfId="0" applyNumberFormat="1" applyFont="1" applyFill="1" applyBorder="1" applyAlignment="1">
      <alignment horizontal="center"/>
    </xf>
    <xf numFmtId="2" fontId="6" fillId="7" borderId="37" xfId="0" applyNumberFormat="1" applyFont="1" applyFill="1" applyBorder="1" applyAlignment="1">
      <alignment horizontal="center"/>
    </xf>
    <xf numFmtId="2" fontId="6" fillId="7" borderId="38" xfId="0" applyNumberFormat="1" applyFont="1" applyFill="1" applyBorder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2" fontId="6" fillId="2" borderId="33" xfId="0" applyNumberFormat="1" applyFont="1" applyFill="1" applyBorder="1" applyAlignment="1">
      <alignment horizontal="center"/>
    </xf>
    <xf numFmtId="2" fontId="6" fillId="7" borderId="58" xfId="0" applyNumberFormat="1" applyFont="1" applyFill="1" applyBorder="1" applyAlignment="1">
      <alignment horizontal="center"/>
    </xf>
    <xf numFmtId="2" fontId="6" fillId="7" borderId="59" xfId="0" applyNumberFormat="1" applyFont="1" applyFill="1" applyBorder="1" applyAlignment="1">
      <alignment horizontal="center"/>
    </xf>
    <xf numFmtId="2" fontId="6" fillId="7" borderId="38" xfId="0" applyNumberFormat="1" applyFont="1" applyFill="1" applyBorder="1" applyAlignment="1">
      <alignment horizontal="center" vertical="center"/>
    </xf>
    <xf numFmtId="2" fontId="6" fillId="2" borderId="13" xfId="0" applyNumberFormat="1" applyFont="1" applyFill="1" applyBorder="1" applyAlignment="1">
      <alignment horizontal="center" vertical="center"/>
    </xf>
    <xf numFmtId="2" fontId="6" fillId="2" borderId="33" xfId="0" applyNumberFormat="1" applyFont="1" applyFill="1" applyBorder="1" applyAlignment="1">
      <alignment horizontal="center" vertical="center"/>
    </xf>
    <xf numFmtId="2" fontId="6" fillId="7" borderId="59" xfId="0" applyNumberFormat="1" applyFont="1" applyFill="1" applyBorder="1" applyAlignment="1">
      <alignment horizontal="center" vertical="center"/>
    </xf>
    <xf numFmtId="2" fontId="9" fillId="0" borderId="37" xfId="0" applyNumberFormat="1" applyFont="1" applyBorder="1" applyAlignment="1">
      <alignment horizontal="center" vertical="center"/>
    </xf>
    <xf numFmtId="2" fontId="9" fillId="0" borderId="38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5" xfId="0" quotePrefix="1" applyNumberFormat="1" applyFont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8" fillId="2" borderId="15" xfId="2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/>
    </xf>
    <xf numFmtId="2" fontId="6" fillId="0" borderId="25" xfId="0" applyNumberFormat="1" applyFont="1" applyBorder="1" applyAlignment="1">
      <alignment horizontal="center" vertical="center"/>
    </xf>
    <xf numFmtId="2" fontId="6" fillId="2" borderId="47" xfId="0" applyNumberFormat="1" applyFont="1" applyFill="1" applyBorder="1" applyAlignment="1">
      <alignment horizontal="center" vertical="center"/>
    </xf>
    <xf numFmtId="2" fontId="3" fillId="10" borderId="15" xfId="0" applyNumberFormat="1" applyFont="1" applyFill="1" applyBorder="1" applyAlignment="1">
      <alignment horizontal="center" vertical="center"/>
    </xf>
    <xf numFmtId="0" fontId="57" fillId="0" borderId="0" xfId="0" applyFont="1"/>
    <xf numFmtId="0" fontId="1" fillId="0" borderId="15" xfId="0" applyFont="1" applyBorder="1"/>
    <xf numFmtId="0" fontId="1" fillId="0" borderId="18" xfId="0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center" vertical="center" wrapText="1"/>
      <protection locked="0"/>
    </xf>
    <xf numFmtId="0" fontId="59" fillId="0" borderId="0" xfId="0" applyFont="1"/>
    <xf numFmtId="0" fontId="5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3" fillId="0" borderId="15" xfId="0" applyFont="1" applyBorder="1" applyAlignment="1">
      <alignment horizontal="center" vertical="center"/>
    </xf>
    <xf numFmtId="2" fontId="23" fillId="0" borderId="15" xfId="0" applyNumberFormat="1" applyFont="1" applyBorder="1" applyAlignment="1">
      <alignment horizontal="center" vertical="center"/>
    </xf>
    <xf numFmtId="171" fontId="23" fillId="0" borderId="15" xfId="0" applyNumberFormat="1" applyFont="1" applyBorder="1" applyAlignment="1">
      <alignment horizontal="center" vertical="center"/>
    </xf>
    <xf numFmtId="0" fontId="1" fillId="0" borderId="18" xfId="3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30" fillId="0" borderId="0" xfId="0" applyFont="1" applyAlignment="1">
      <alignment vertical="center"/>
    </xf>
    <xf numFmtId="0" fontId="1" fillId="0" borderId="19" xfId="3" applyBorder="1" applyAlignment="1">
      <alignment vertical="center"/>
    </xf>
    <xf numFmtId="0" fontId="0" fillId="0" borderId="17" xfId="0" applyBorder="1"/>
    <xf numFmtId="0" fontId="0" fillId="0" borderId="24" xfId="0" applyBorder="1"/>
    <xf numFmtId="0" fontId="1" fillId="2" borderId="26" xfId="0" applyFont="1" applyFill="1" applyBorder="1" applyAlignment="1">
      <alignment vertical="center"/>
    </xf>
    <xf numFmtId="0" fontId="0" fillId="0" borderId="26" xfId="0" applyBorder="1"/>
    <xf numFmtId="0" fontId="24" fillId="0" borderId="0" xfId="3" applyFont="1" applyAlignment="1">
      <alignment vertical="center"/>
    </xf>
    <xf numFmtId="0" fontId="61" fillId="0" borderId="0" xfId="0" applyFont="1" applyAlignment="1">
      <alignment vertical="center"/>
    </xf>
    <xf numFmtId="171" fontId="23" fillId="0" borderId="0" xfId="0" applyNumberFormat="1" applyFont="1" applyAlignment="1">
      <alignment vertical="center"/>
    </xf>
    <xf numFmtId="0" fontId="40" fillId="0" borderId="0" xfId="0" applyFont="1" applyAlignment="1">
      <alignment horizontal="center" vertical="center" wrapText="1"/>
    </xf>
    <xf numFmtId="1" fontId="1" fillId="9" borderId="0" xfId="0" applyNumberFormat="1" applyFont="1" applyFill="1" applyAlignment="1">
      <alignment horizontal="center"/>
    </xf>
    <xf numFmtId="2" fontId="1" fillId="9" borderId="0" xfId="0" applyNumberFormat="1" applyFont="1" applyFill="1" applyAlignment="1">
      <alignment horizontal="center" vertical="center"/>
    </xf>
    <xf numFmtId="1" fontId="1" fillId="9" borderId="0" xfId="0" applyNumberFormat="1" applyFont="1" applyFill="1" applyAlignment="1">
      <alignment horizontal="center" vertical="center"/>
    </xf>
    <xf numFmtId="1" fontId="1" fillId="9" borderId="15" xfId="0" applyNumberFormat="1" applyFont="1" applyFill="1" applyBorder="1" applyAlignment="1">
      <alignment vertical="center"/>
    </xf>
    <xf numFmtId="0" fontId="23" fillId="0" borderId="72" xfId="0" applyFont="1" applyBorder="1"/>
    <xf numFmtId="1" fontId="23" fillId="0" borderId="12" xfId="0" applyNumberFormat="1" applyFont="1" applyBorder="1" applyAlignment="1">
      <alignment horizontal="center" vertical="center" wrapText="1"/>
    </xf>
    <xf numFmtId="1" fontId="23" fillId="0" borderId="4" xfId="0" applyNumberFormat="1" applyFont="1" applyBorder="1" applyAlignment="1">
      <alignment horizontal="center" vertical="center" wrapText="1"/>
    </xf>
    <xf numFmtId="1" fontId="23" fillId="0" borderId="70" xfId="0" applyNumberFormat="1" applyFont="1" applyBorder="1" applyAlignment="1">
      <alignment horizontal="center" vertical="center" wrapText="1"/>
    </xf>
    <xf numFmtId="1" fontId="23" fillId="0" borderId="8" xfId="0" applyNumberFormat="1" applyFont="1" applyBorder="1" applyAlignment="1">
      <alignment horizontal="center" vertical="center" wrapText="1"/>
    </xf>
    <xf numFmtId="0" fontId="43" fillId="0" borderId="15" xfId="0" quotePrefix="1" applyFont="1" applyBorder="1" applyAlignment="1" applyProtection="1">
      <alignment vertical="center"/>
      <protection locked="0"/>
    </xf>
    <xf numFmtId="2" fontId="43" fillId="0" borderId="0" xfId="0" applyNumberFormat="1" applyFont="1" applyAlignment="1" applyProtection="1">
      <alignment horizontal="left" vertical="center"/>
      <protection locked="0"/>
    </xf>
    <xf numFmtId="2" fontId="6" fillId="2" borderId="15" xfId="0" applyNumberFormat="1" applyFont="1" applyFill="1" applyBorder="1" applyAlignment="1">
      <alignment horizontal="center"/>
    </xf>
    <xf numFmtId="2" fontId="1" fillId="14" borderId="15" xfId="0" applyNumberFormat="1" applyFont="1" applyFill="1" applyBorder="1" applyAlignment="1">
      <alignment horizontal="center" vertical="center"/>
    </xf>
    <xf numFmtId="2" fontId="1" fillId="5" borderId="15" xfId="0" quotePrefix="1" applyNumberFormat="1" applyFont="1" applyFill="1" applyBorder="1" applyAlignment="1">
      <alignment horizontal="center" vertical="center"/>
    </xf>
    <xf numFmtId="2" fontId="1" fillId="15" borderId="15" xfId="0" quotePrefix="1" applyNumberFormat="1" applyFont="1" applyFill="1" applyBorder="1" applyAlignment="1">
      <alignment horizontal="center" vertical="center"/>
    </xf>
    <xf numFmtId="2" fontId="1" fillId="16" borderId="15" xfId="0" applyNumberFormat="1" applyFont="1" applyFill="1" applyBorder="1" applyAlignment="1">
      <alignment horizontal="center"/>
    </xf>
    <xf numFmtId="2" fontId="1" fillId="16" borderId="15" xfId="0" applyNumberFormat="1" applyFont="1" applyFill="1" applyBorder="1" applyAlignment="1">
      <alignment horizontal="center" vertical="center"/>
    </xf>
    <xf numFmtId="166" fontId="23" fillId="0" borderId="21" xfId="0" applyNumberFormat="1" applyFont="1" applyBorder="1" applyAlignment="1">
      <alignment horizontal="right" vertical="center" wrapText="1"/>
    </xf>
    <xf numFmtId="164" fontId="23" fillId="0" borderId="5" xfId="0" applyNumberFormat="1" applyFont="1" applyBorder="1" applyAlignment="1">
      <alignment horizontal="right" vertical="center" wrapText="1"/>
    </xf>
    <xf numFmtId="0" fontId="23" fillId="9" borderId="14" xfId="0" applyFont="1" applyFill="1" applyBorder="1" applyAlignment="1" applyProtection="1">
      <alignment horizontal="left" vertical="center" wrapText="1"/>
      <protection locked="0"/>
    </xf>
    <xf numFmtId="0" fontId="23" fillId="9" borderId="6" xfId="0" applyFont="1" applyFill="1" applyBorder="1" applyAlignment="1" applyProtection="1">
      <alignment horizontal="left" vertical="center" wrapText="1"/>
      <protection locked="0"/>
    </xf>
    <xf numFmtId="0" fontId="23" fillId="9" borderId="10" xfId="0" applyFont="1" applyFill="1" applyBorder="1" applyAlignment="1" applyProtection="1">
      <alignment horizontal="left" vertical="center"/>
      <protection locked="0"/>
    </xf>
    <xf numFmtId="2" fontId="23" fillId="0" borderId="0" xfId="1" applyNumberFormat="1" applyFont="1" applyBorder="1" applyAlignment="1" applyProtection="1">
      <alignment horizontal="center" vertical="center"/>
      <protection locked="0"/>
    </xf>
    <xf numFmtId="2" fontId="23" fillId="0" borderId="0" xfId="1" applyNumberFormat="1" applyFont="1" applyBorder="1" applyAlignment="1">
      <alignment horizontal="center" vertical="center"/>
    </xf>
    <xf numFmtId="0" fontId="12" fillId="0" borderId="0" xfId="3" applyFont="1" applyAlignment="1">
      <alignment horizontal="center" vertical="center" wrapText="1"/>
    </xf>
    <xf numFmtId="166" fontId="24" fillId="0" borderId="15" xfId="0" applyNumberFormat="1" applyFont="1" applyBorder="1" applyAlignment="1">
      <alignment horizontal="center" vertical="center"/>
    </xf>
    <xf numFmtId="172" fontId="23" fillId="0" borderId="14" xfId="0" applyNumberFormat="1" applyFont="1" applyBorder="1" applyAlignment="1">
      <alignment vertical="center" wrapText="1"/>
    </xf>
    <xf numFmtId="168" fontId="23" fillId="0" borderId="6" xfId="0" applyNumberFormat="1" applyFont="1" applyBorder="1" applyAlignment="1">
      <alignment vertical="center" wrapText="1"/>
    </xf>
    <xf numFmtId="169" fontId="23" fillId="0" borderId="10" xfId="0" applyNumberFormat="1" applyFont="1" applyBorder="1" applyAlignment="1">
      <alignment vertical="center" wrapText="1"/>
    </xf>
    <xf numFmtId="0" fontId="62" fillId="0" borderId="12" xfId="0" applyFont="1" applyBorder="1" applyAlignment="1" applyProtection="1">
      <alignment horizontal="right" vertical="center"/>
      <protection locked="0"/>
    </xf>
    <xf numFmtId="0" fontId="62" fillId="0" borderId="4" xfId="0" applyFont="1" applyBorder="1" applyAlignment="1" applyProtection="1">
      <alignment horizontal="right" vertical="center"/>
      <protection locked="0"/>
    </xf>
    <xf numFmtId="0" fontId="62" fillId="0" borderId="8" xfId="0" applyFont="1" applyBorder="1" applyAlignment="1" applyProtection="1">
      <alignment horizontal="right" vertical="center"/>
      <protection locked="0"/>
    </xf>
    <xf numFmtId="2" fontId="1" fillId="9" borderId="15" xfId="0" applyNumberFormat="1" applyFont="1" applyFill="1" applyBorder="1" applyAlignment="1">
      <alignment horizontal="center" vertical="center"/>
    </xf>
    <xf numFmtId="1" fontId="1" fillId="9" borderId="23" xfId="0" applyNumberFormat="1" applyFont="1" applyFill="1" applyBorder="1" applyAlignment="1">
      <alignment horizontal="center" vertical="center"/>
    </xf>
    <xf numFmtId="1" fontId="1" fillId="9" borderId="15" xfId="0" applyNumberFormat="1" applyFont="1" applyFill="1" applyBorder="1" applyAlignment="1">
      <alignment horizontal="center"/>
    </xf>
    <xf numFmtId="0" fontId="23" fillId="0" borderId="6" xfId="0" applyFont="1" applyBorder="1" applyAlignment="1" applyProtection="1">
      <alignment vertical="center"/>
      <protection locked="0"/>
    </xf>
    <xf numFmtId="2" fontId="6" fillId="2" borderId="0" xfId="0" applyNumberFormat="1" applyFont="1" applyFill="1" applyAlignment="1">
      <alignment vertical="center"/>
    </xf>
    <xf numFmtId="2" fontId="6" fillId="2" borderId="0" xfId="0" applyNumberFormat="1" applyFont="1" applyFill="1"/>
    <xf numFmtId="2" fontId="1" fillId="2" borderId="0" xfId="0" applyNumberFormat="1" applyFont="1" applyFill="1"/>
    <xf numFmtId="2" fontId="6" fillId="14" borderId="15" xfId="0" applyNumberFormat="1" applyFont="1" applyFill="1" applyBorder="1" applyAlignment="1">
      <alignment horizontal="center" vertical="center"/>
    </xf>
    <xf numFmtId="2" fontId="6" fillId="0" borderId="47" xfId="0" applyNumberFormat="1" applyFont="1" applyBorder="1"/>
    <xf numFmtId="2" fontId="6" fillId="0" borderId="0" xfId="0" applyNumberFormat="1" applyFont="1"/>
    <xf numFmtId="2" fontId="6" fillId="6" borderId="0" xfId="0" applyNumberFormat="1" applyFont="1" applyFill="1"/>
    <xf numFmtId="2" fontId="6" fillId="0" borderId="65" xfId="0" applyNumberFormat="1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 wrapText="1"/>
    </xf>
    <xf numFmtId="2" fontId="6" fillId="0" borderId="71" xfId="0" applyNumberFormat="1" applyFont="1" applyBorder="1" applyAlignment="1">
      <alignment horizontal="center" vertical="center"/>
    </xf>
    <xf numFmtId="2" fontId="6" fillId="0" borderId="71" xfId="0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6" fillId="0" borderId="66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2" fontId="6" fillId="2" borderId="47" xfId="0" applyNumberFormat="1" applyFont="1" applyFill="1" applyBorder="1"/>
    <xf numFmtId="2" fontId="56" fillId="2" borderId="15" xfId="0" applyNumberFormat="1" applyFont="1" applyFill="1" applyBorder="1" applyAlignment="1">
      <alignment horizontal="center" vertical="center"/>
    </xf>
    <xf numFmtId="2" fontId="3" fillId="10" borderId="15" xfId="0" quotePrefix="1" applyNumberFormat="1" applyFont="1" applyFill="1" applyBorder="1" applyAlignment="1">
      <alignment horizontal="center" vertical="center"/>
    </xf>
    <xf numFmtId="2" fontId="10" fillId="5" borderId="15" xfId="0" applyNumberFormat="1" applyFont="1" applyFill="1" applyBorder="1" applyAlignment="1">
      <alignment horizontal="left" vertical="center"/>
    </xf>
    <xf numFmtId="2" fontId="8" fillId="5" borderId="15" xfId="0" applyNumberFormat="1" applyFont="1" applyFill="1" applyBorder="1" applyAlignment="1">
      <alignment vertical="center"/>
    </xf>
    <xf numFmtId="2" fontId="8" fillId="5" borderId="15" xfId="0" applyNumberFormat="1" applyFont="1" applyFill="1" applyBorder="1" applyAlignment="1">
      <alignment horizontal="center" vertical="center"/>
    </xf>
    <xf numFmtId="2" fontId="10" fillId="5" borderId="22" xfId="0" applyNumberFormat="1" applyFont="1" applyFill="1" applyBorder="1" applyAlignment="1">
      <alignment horizontal="left" vertical="center"/>
    </xf>
    <xf numFmtId="2" fontId="10" fillId="4" borderId="32" xfId="0" quotePrefix="1" applyNumberFormat="1" applyFont="1" applyFill="1" applyBorder="1" applyAlignment="1">
      <alignment horizontal="left"/>
    </xf>
    <xf numFmtId="2" fontId="6" fillId="4" borderId="39" xfId="0" applyNumberFormat="1" applyFont="1" applyFill="1" applyBorder="1"/>
    <xf numFmtId="2" fontId="5" fillId="0" borderId="22" xfId="0" applyNumberFormat="1" applyFont="1" applyBorder="1"/>
    <xf numFmtId="2" fontId="5" fillId="0" borderId="52" xfId="0" applyNumberFormat="1" applyFont="1" applyBorder="1"/>
    <xf numFmtId="2" fontId="10" fillId="4" borderId="18" xfId="0" quotePrefix="1" applyNumberFormat="1" applyFont="1" applyFill="1" applyBorder="1" applyAlignment="1">
      <alignment horizontal="left"/>
    </xf>
    <xf numFmtId="2" fontId="6" fillId="4" borderId="22" xfId="0" applyNumberFormat="1" applyFont="1" applyFill="1" applyBorder="1"/>
    <xf numFmtId="2" fontId="10" fillId="4" borderId="20" xfId="0" quotePrefix="1" applyNumberFormat="1" applyFont="1" applyFill="1" applyBorder="1" applyAlignment="1">
      <alignment horizontal="left"/>
    </xf>
    <xf numFmtId="2" fontId="6" fillId="4" borderId="1" xfId="0" applyNumberFormat="1" applyFont="1" applyFill="1" applyBorder="1"/>
    <xf numFmtId="2" fontId="10" fillId="0" borderId="0" xfId="0" applyNumberFormat="1" applyFont="1"/>
    <xf numFmtId="2" fontId="1" fillId="0" borderId="0" xfId="0" applyNumberFormat="1" applyFont="1"/>
    <xf numFmtId="2" fontId="1" fillId="0" borderId="0" xfId="0" quotePrefix="1" applyNumberFormat="1" applyFont="1"/>
    <xf numFmtId="2" fontId="5" fillId="0" borderId="15" xfId="0" applyNumberFormat="1" applyFont="1" applyBorder="1"/>
    <xf numFmtId="2" fontId="6" fillId="5" borderId="45" xfId="0" applyNumberFormat="1" applyFont="1" applyFill="1" applyBorder="1" applyAlignment="1">
      <alignment horizontal="center" vertical="center"/>
    </xf>
    <xf numFmtId="2" fontId="6" fillId="5" borderId="46" xfId="0" applyNumberFormat="1" applyFont="1" applyFill="1" applyBorder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6" fillId="0" borderId="48" xfId="0" applyNumberFormat="1" applyFont="1" applyBorder="1"/>
    <xf numFmtId="2" fontId="1" fillId="9" borderId="57" xfId="0" applyNumberFormat="1" applyFont="1" applyFill="1" applyBorder="1" applyAlignment="1">
      <alignment horizontal="center" vertical="center"/>
    </xf>
    <xf numFmtId="2" fontId="1" fillId="9" borderId="15" xfId="0" quotePrefix="1" applyNumberFormat="1" applyFont="1" applyFill="1" applyBorder="1"/>
    <xf numFmtId="2" fontId="1" fillId="0" borderId="15" xfId="0" quotePrefix="1" applyNumberFormat="1" applyFont="1" applyBorder="1"/>
    <xf numFmtId="2" fontId="1" fillId="0" borderId="35" xfId="0" quotePrefix="1" applyNumberFormat="1" applyFont="1" applyBorder="1" applyAlignment="1">
      <alignment horizontal="center" vertical="center"/>
    </xf>
    <xf numFmtId="2" fontId="1" fillId="2" borderId="0" xfId="0" quotePrefix="1" applyNumberFormat="1" applyFont="1" applyFill="1"/>
    <xf numFmtId="2" fontId="1" fillId="9" borderId="15" xfId="0" applyNumberFormat="1" applyFont="1" applyFill="1" applyBorder="1"/>
    <xf numFmtId="2" fontId="1" fillId="0" borderId="47" xfId="0" applyNumberFormat="1" applyFont="1" applyBorder="1"/>
    <xf numFmtId="2" fontId="1" fillId="0" borderId="0" xfId="0" applyNumberFormat="1" applyFont="1" applyAlignment="1">
      <alignment horizontal="center" vertical="center"/>
    </xf>
    <xf numFmtId="2" fontId="1" fillId="0" borderId="15" xfId="0" applyNumberFormat="1" applyFont="1" applyBorder="1"/>
    <xf numFmtId="2" fontId="1" fillId="2" borderId="15" xfId="0" applyNumberFormat="1" applyFont="1" applyFill="1" applyBorder="1" applyAlignment="1">
      <alignment horizontal="center" vertical="center" wrapText="1"/>
    </xf>
    <xf numFmtId="2" fontId="8" fillId="2" borderId="41" xfId="2" applyNumberFormat="1" applyFont="1" applyFill="1" applyBorder="1" applyAlignment="1">
      <alignment horizontal="center" vertical="center"/>
    </xf>
    <xf numFmtId="2" fontId="9" fillId="0" borderId="35" xfId="0" applyNumberFormat="1" applyFont="1" applyBorder="1" applyAlignment="1">
      <alignment vertical="center"/>
    </xf>
    <xf numFmtId="2" fontId="6" fillId="2" borderId="54" xfId="0" applyNumberFormat="1" applyFont="1" applyFill="1" applyBorder="1"/>
    <xf numFmtId="2" fontId="1" fillId="10" borderId="15" xfId="0" applyNumberFormat="1" applyFont="1" applyFill="1" applyBorder="1" applyAlignment="1">
      <alignment horizontal="center" vertical="center"/>
    </xf>
    <xf numFmtId="2" fontId="1" fillId="10" borderId="15" xfId="0" quotePrefix="1" applyNumberFormat="1" applyFont="1" applyFill="1" applyBorder="1" applyAlignment="1">
      <alignment horizontal="center" vertical="center"/>
    </xf>
    <xf numFmtId="2" fontId="1" fillId="10" borderId="15" xfId="0" quotePrefix="1" applyNumberFormat="1" applyFont="1" applyFill="1" applyBorder="1" applyAlignment="1">
      <alignment horizontal="center"/>
    </xf>
    <xf numFmtId="2" fontId="1" fillId="10" borderId="15" xfId="0" applyNumberFormat="1" applyFont="1" applyFill="1" applyBorder="1"/>
    <xf numFmtId="2" fontId="1" fillId="2" borderId="0" xfId="0" quotePrefix="1" applyNumberFormat="1" applyFont="1" applyFill="1" applyAlignment="1">
      <alignment horizontal="center"/>
    </xf>
    <xf numFmtId="2" fontId="1" fillId="10" borderId="15" xfId="0" applyNumberFormat="1" applyFont="1" applyFill="1" applyBorder="1" applyAlignment="1">
      <alignment horizontal="center"/>
    </xf>
    <xf numFmtId="2" fontId="1" fillId="0" borderId="0" xfId="0" quotePrefix="1" applyNumberFormat="1" applyFont="1" applyAlignment="1">
      <alignment horizontal="center"/>
    </xf>
    <xf numFmtId="2" fontId="6" fillId="8" borderId="49" xfId="0" applyNumberFormat="1" applyFont="1" applyFill="1" applyBorder="1"/>
    <xf numFmtId="2" fontId="6" fillId="0" borderId="50" xfId="0" applyNumberFormat="1" applyFont="1" applyBorder="1"/>
    <xf numFmtId="2" fontId="6" fillId="2" borderId="16" xfId="0" applyNumberFormat="1" applyFont="1" applyFill="1" applyBorder="1" applyAlignment="1">
      <alignment horizontal="center" vertical="center"/>
    </xf>
    <xf numFmtId="2" fontId="6" fillId="0" borderId="45" xfId="0" applyNumberFormat="1" applyFont="1" applyBorder="1"/>
    <xf numFmtId="2" fontId="6" fillId="2" borderId="65" xfId="0" applyNumberFormat="1" applyFont="1" applyFill="1" applyBorder="1" applyAlignment="1">
      <alignment horizontal="center" vertical="center"/>
    </xf>
    <xf numFmtId="2" fontId="6" fillId="2" borderId="71" xfId="0" applyNumberFormat="1" applyFont="1" applyFill="1" applyBorder="1" applyAlignment="1">
      <alignment horizontal="center" vertical="center"/>
    </xf>
    <xf numFmtId="2" fontId="6" fillId="0" borderId="47" xfId="0" applyNumberFormat="1" applyFont="1" applyBorder="1" applyAlignment="1">
      <alignment horizontal="center" vertical="center"/>
    </xf>
    <xf numFmtId="2" fontId="6" fillId="2" borderId="41" xfId="0" applyNumberFormat="1" applyFont="1" applyFill="1" applyBorder="1" applyAlignment="1">
      <alignment horizontal="center"/>
    </xf>
    <xf numFmtId="2" fontId="6" fillId="10" borderId="15" xfId="0" applyNumberFormat="1" applyFont="1" applyFill="1" applyBorder="1" applyAlignment="1">
      <alignment horizontal="center"/>
    </xf>
    <xf numFmtId="2" fontId="6" fillId="2" borderId="35" xfId="2" applyNumberFormat="1" applyFont="1" applyFill="1" applyBorder="1" applyAlignment="1">
      <alignment horizontal="center"/>
    </xf>
    <xf numFmtId="2" fontId="1" fillId="0" borderId="54" xfId="0" applyNumberFormat="1" applyFont="1" applyBorder="1" applyAlignment="1">
      <alignment horizontal="center" vertical="center"/>
    </xf>
    <xf numFmtId="2" fontId="6" fillId="2" borderId="38" xfId="2" applyNumberFormat="1" applyFont="1" applyFill="1" applyBorder="1" applyAlignment="1">
      <alignment horizontal="center"/>
    </xf>
    <xf numFmtId="2" fontId="6" fillId="2" borderId="47" xfId="2" applyNumberFormat="1" applyFont="1" applyFill="1" applyBorder="1" applyAlignment="1">
      <alignment horizontal="center"/>
    </xf>
    <xf numFmtId="2" fontId="6" fillId="7" borderId="15" xfId="0" applyNumberFormat="1" applyFont="1" applyFill="1" applyBorder="1" applyAlignment="1">
      <alignment vertical="center"/>
    </xf>
    <xf numFmtId="2" fontId="21" fillId="0" borderId="35" xfId="0" applyNumberFormat="1" applyFont="1" applyBorder="1" applyAlignment="1">
      <alignment horizontal="left" vertical="center"/>
    </xf>
    <xf numFmtId="2" fontId="6" fillId="7" borderId="15" xfId="0" applyNumberFormat="1" applyFont="1" applyFill="1" applyBorder="1" applyAlignment="1">
      <alignment horizontal="left" vertical="center"/>
    </xf>
    <xf numFmtId="166" fontId="44" fillId="0" borderId="15" xfId="0" applyNumberFormat="1" applyFont="1" applyBorder="1" applyAlignment="1" applyProtection="1">
      <alignment horizontal="center" vertical="center"/>
      <protection locked="0"/>
    </xf>
    <xf numFmtId="0" fontId="62" fillId="0" borderId="20" xfId="0" applyFont="1" applyBorder="1" applyAlignment="1" applyProtection="1">
      <alignment horizontal="right" vertical="center"/>
      <protection locked="0"/>
    </xf>
    <xf numFmtId="0" fontId="62" fillId="0" borderId="70" xfId="0" applyFont="1" applyBorder="1" applyAlignment="1" applyProtection="1">
      <alignment horizontal="right" vertical="center"/>
      <protection locked="0"/>
    </xf>
    <xf numFmtId="2" fontId="1" fillId="0" borderId="15" xfId="0" applyNumberFormat="1" applyFont="1" applyBorder="1" applyAlignment="1">
      <alignment horizontal="center" vertical="center" wrapText="1"/>
    </xf>
    <xf numFmtId="0" fontId="1" fillId="0" borderId="0" xfId="5"/>
    <xf numFmtId="0" fontId="1" fillId="0" borderId="0" xfId="5" applyProtection="1">
      <protection locked="0"/>
    </xf>
    <xf numFmtId="0" fontId="67" fillId="0" borderId="0" xfId="5" applyFont="1" applyAlignment="1">
      <alignment horizontal="center" vertical="center" wrapText="1"/>
    </xf>
    <xf numFmtId="0" fontId="2" fillId="0" borderId="0" xfId="5" applyFont="1" applyProtection="1">
      <protection locked="0"/>
    </xf>
    <xf numFmtId="0" fontId="7" fillId="0" borderId="18" xfId="5" applyFont="1" applyBorder="1" applyAlignment="1">
      <alignment horizontal="left" vertical="top" wrapText="1"/>
    </xf>
    <xf numFmtId="0" fontId="7" fillId="0" borderId="23" xfId="5" applyFont="1" applyBorder="1" applyAlignment="1">
      <alignment horizontal="left" vertical="top" wrapText="1"/>
    </xf>
    <xf numFmtId="0" fontId="1" fillId="0" borderId="0" xfId="5" applyAlignment="1">
      <alignment horizontal="left" vertical="top"/>
    </xf>
    <xf numFmtId="0" fontId="7" fillId="0" borderId="23" xfId="5" applyFont="1" applyBorder="1" applyAlignment="1">
      <alignment horizontal="left" vertical="top"/>
    </xf>
    <xf numFmtId="0" fontId="7" fillId="0" borderId="0" xfId="5" applyFont="1" applyAlignment="1">
      <alignment vertical="center" wrapText="1"/>
    </xf>
    <xf numFmtId="0" fontId="7" fillId="0" borderId="0" xfId="5" applyFont="1" applyAlignment="1">
      <alignment horizontal="center" vertical="center" wrapText="1"/>
    </xf>
    <xf numFmtId="0" fontId="69" fillId="0" borderId="0" xfId="5" applyFont="1"/>
    <xf numFmtId="0" fontId="7" fillId="0" borderId="0" xfId="5" applyFont="1" applyAlignment="1" applyProtection="1">
      <alignment horizontal="center" vertical="center" wrapText="1"/>
      <protection locked="0"/>
    </xf>
    <xf numFmtId="1" fontId="7" fillId="0" borderId="0" xfId="5" quotePrefix="1" applyNumberFormat="1" applyFont="1" applyAlignment="1" applyProtection="1">
      <alignment horizontal="left"/>
      <protection locked="0"/>
    </xf>
    <xf numFmtId="0" fontId="7" fillId="0" borderId="0" xfId="5" applyFont="1" applyProtection="1">
      <protection locked="0"/>
    </xf>
    <xf numFmtId="1" fontId="68" fillId="0" borderId="0" xfId="5" quotePrefix="1" applyNumberFormat="1" applyFont="1" applyProtection="1">
      <protection locked="0"/>
    </xf>
    <xf numFmtId="0" fontId="69" fillId="0" borderId="0" xfId="5" applyFont="1" applyProtection="1">
      <protection locked="0"/>
    </xf>
    <xf numFmtId="182" fontId="7" fillId="0" borderId="0" xfId="5" quotePrefix="1" applyNumberFormat="1" applyFont="1" applyAlignment="1" applyProtection="1">
      <alignment horizontal="left"/>
      <protection locked="0"/>
    </xf>
    <xf numFmtId="2" fontId="68" fillId="0" borderId="0" xfId="5" quotePrefix="1" applyNumberFormat="1" applyFont="1" applyProtection="1">
      <protection locked="0"/>
    </xf>
    <xf numFmtId="0" fontId="1" fillId="0" borderId="0" xfId="5" applyAlignment="1">
      <alignment vertical="top" wrapText="1"/>
    </xf>
    <xf numFmtId="0" fontId="7" fillId="0" borderId="18" xfId="5" applyFont="1" applyBorder="1" applyAlignment="1">
      <alignment vertical="top"/>
    </xf>
    <xf numFmtId="0" fontId="7" fillId="0" borderId="23" xfId="5" applyFont="1" applyBorder="1" applyAlignment="1" applyProtection="1">
      <alignment vertical="top" wrapText="1"/>
      <protection locked="0"/>
    </xf>
    <xf numFmtId="0" fontId="7" fillId="0" borderId="23" xfId="5" applyFont="1" applyBorder="1" applyAlignment="1" applyProtection="1">
      <alignment vertical="top"/>
      <protection locked="0"/>
    </xf>
    <xf numFmtId="0" fontId="11" fillId="0" borderId="0" xfId="5" applyFont="1" applyAlignment="1">
      <alignment vertical="top"/>
    </xf>
    <xf numFmtId="0" fontId="7" fillId="0" borderId="0" xfId="5" applyFont="1" applyAlignment="1" applyProtection="1">
      <alignment horizontal="center" vertical="top" wrapText="1"/>
      <protection locked="0"/>
    </xf>
    <xf numFmtId="0" fontId="67" fillId="0" borderId="0" xfId="5" applyFont="1" applyAlignment="1">
      <alignment wrapText="1"/>
    </xf>
    <xf numFmtId="0" fontId="64" fillId="0" borderId="0" xfId="5" applyFont="1" applyAlignment="1">
      <alignment horizontal="center"/>
    </xf>
    <xf numFmtId="0" fontId="15" fillId="0" borderId="0" xfId="5" applyFont="1"/>
    <xf numFmtId="0" fontId="7" fillId="0" borderId="0" xfId="5" applyFont="1" applyAlignment="1">
      <alignment horizontal="center" vertical="top" wrapText="1"/>
    </xf>
    <xf numFmtId="0" fontId="7" fillId="0" borderId="0" xfId="5" applyFont="1" applyAlignment="1">
      <alignment vertical="top" wrapText="1"/>
    </xf>
    <xf numFmtId="0" fontId="7" fillId="0" borderId="0" xfId="5" applyFont="1" applyAlignment="1">
      <alignment horizontal="justify" vertical="center" wrapText="1"/>
    </xf>
    <xf numFmtId="0" fontId="70" fillId="0" borderId="0" xfId="5" applyFont="1" applyAlignment="1">
      <alignment vertical="center"/>
    </xf>
    <xf numFmtId="0" fontId="1" fillId="0" borderId="44" xfId="5" applyBorder="1"/>
    <xf numFmtId="0" fontId="71" fillId="0" borderId="46" xfId="5" applyFont="1" applyBorder="1"/>
    <xf numFmtId="0" fontId="1" fillId="0" borderId="47" xfId="5" applyBorder="1"/>
    <xf numFmtId="0" fontId="1" fillId="0" borderId="48" xfId="5" applyBorder="1"/>
    <xf numFmtId="0" fontId="1" fillId="0" borderId="47" xfId="5" applyBorder="1" applyAlignment="1">
      <alignment wrapText="1"/>
    </xf>
    <xf numFmtId="0" fontId="1" fillId="0" borderId="48" xfId="5" applyBorder="1" applyAlignment="1">
      <alignment wrapText="1"/>
    </xf>
    <xf numFmtId="0" fontId="71" fillId="0" borderId="48" xfId="5" applyFont="1" applyBorder="1"/>
    <xf numFmtId="0" fontId="72" fillId="0" borderId="48" xfId="5" applyFont="1" applyBorder="1" applyAlignment="1">
      <alignment horizontal="left" wrapText="1"/>
    </xf>
    <xf numFmtId="0" fontId="1" fillId="0" borderId="0" xfId="5" applyAlignment="1">
      <alignment wrapText="1"/>
    </xf>
    <xf numFmtId="0" fontId="72" fillId="0" borderId="47" xfId="5" applyFont="1" applyBorder="1" applyAlignment="1">
      <alignment wrapText="1"/>
    </xf>
    <xf numFmtId="173" fontId="72" fillId="0" borderId="48" xfId="5" applyNumberFormat="1" applyFont="1" applyBorder="1" applyAlignment="1">
      <alignment horizontal="left"/>
    </xf>
    <xf numFmtId="173" fontId="1" fillId="0" borderId="48" xfId="5" applyNumberFormat="1" applyBorder="1"/>
    <xf numFmtId="0" fontId="73" fillId="0" borderId="48" xfId="5" applyFont="1" applyBorder="1" applyAlignment="1">
      <alignment horizontal="left" wrapText="1"/>
    </xf>
    <xf numFmtId="0" fontId="72" fillId="0" borderId="48" xfId="5" applyFont="1" applyBorder="1" applyAlignment="1">
      <alignment wrapText="1"/>
    </xf>
    <xf numFmtId="0" fontId="72" fillId="0" borderId="47" xfId="5" applyFont="1" applyBorder="1"/>
    <xf numFmtId="0" fontId="72" fillId="0" borderId="49" xfId="5" applyFont="1" applyBorder="1"/>
    <xf numFmtId="0" fontId="72" fillId="0" borderId="51" xfId="5" applyFont="1" applyBorder="1" applyAlignment="1">
      <alignment wrapText="1"/>
    </xf>
    <xf numFmtId="2" fontId="23" fillId="0" borderId="14" xfId="4" applyNumberFormat="1" applyFont="1" applyBorder="1" applyAlignment="1" applyProtection="1">
      <alignment horizontal="left" vertical="center" wrapText="1"/>
    </xf>
    <xf numFmtId="184" fontId="8" fillId="2" borderId="41" xfId="2" applyNumberFormat="1" applyFont="1" applyFill="1" applyBorder="1" applyAlignment="1">
      <alignment horizontal="center" vertical="center"/>
    </xf>
    <xf numFmtId="0" fontId="55" fillId="11" borderId="0" xfId="0" applyFont="1" applyFill="1" applyAlignment="1" applyProtection="1">
      <alignment vertical="center"/>
      <protection locked="0"/>
    </xf>
    <xf numFmtId="166" fontId="23" fillId="0" borderId="9" xfId="0" applyNumberFormat="1" applyFont="1" applyBorder="1" applyAlignment="1">
      <alignment horizontal="right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180" fontId="6" fillId="2" borderId="15" xfId="0" applyNumberFormat="1" applyFont="1" applyFill="1" applyBorder="1" applyAlignment="1">
      <alignment horizontal="center" vertical="center"/>
    </xf>
    <xf numFmtId="185" fontId="1" fillId="14" borderId="15" xfId="0" applyNumberFormat="1" applyFont="1" applyFill="1" applyBorder="1" applyAlignment="1">
      <alignment horizontal="center" vertical="center"/>
    </xf>
    <xf numFmtId="185" fontId="1" fillId="14" borderId="15" xfId="0" quotePrefix="1" applyNumberFormat="1" applyFont="1" applyFill="1" applyBorder="1" applyAlignment="1">
      <alignment horizontal="center" vertical="center"/>
    </xf>
    <xf numFmtId="185" fontId="1" fillId="14" borderId="15" xfId="0" applyNumberFormat="1" applyFont="1" applyFill="1" applyBorder="1" applyAlignment="1">
      <alignment horizontal="center"/>
    </xf>
    <xf numFmtId="180" fontId="1" fillId="5" borderId="15" xfId="0" applyNumberFormat="1" applyFont="1" applyFill="1" applyBorder="1" applyAlignment="1">
      <alignment horizontal="center" vertical="center"/>
    </xf>
    <xf numFmtId="180" fontId="1" fillId="5" borderId="15" xfId="0" applyNumberFormat="1" applyFont="1" applyFill="1" applyBorder="1" applyAlignment="1">
      <alignment horizontal="center"/>
    </xf>
    <xf numFmtId="185" fontId="1" fillId="5" borderId="15" xfId="0" applyNumberFormat="1" applyFont="1" applyFill="1" applyBorder="1" applyAlignment="1">
      <alignment horizontal="center" vertical="center"/>
    </xf>
    <xf numFmtId="185" fontId="1" fillId="5" borderId="15" xfId="0" applyNumberFormat="1" applyFont="1" applyFill="1" applyBorder="1" applyAlignment="1">
      <alignment horizontal="center"/>
    </xf>
    <xf numFmtId="185" fontId="1" fillId="5" borderId="15" xfId="0" quotePrefix="1" applyNumberFormat="1" applyFont="1" applyFill="1" applyBorder="1" applyAlignment="1">
      <alignment horizontal="center" vertical="center"/>
    </xf>
    <xf numFmtId="185" fontId="1" fillId="7" borderId="15" xfId="0" quotePrefix="1" applyNumberFormat="1" applyFont="1" applyFill="1" applyBorder="1" applyAlignment="1">
      <alignment horizontal="center" vertical="center"/>
    </xf>
    <xf numFmtId="185" fontId="1" fillId="7" borderId="15" xfId="0" applyNumberFormat="1" applyFont="1" applyFill="1" applyBorder="1" applyAlignment="1">
      <alignment horizontal="center" vertical="center"/>
    </xf>
    <xf numFmtId="185" fontId="1" fillId="7" borderId="15" xfId="0" applyNumberFormat="1" applyFont="1" applyFill="1" applyBorder="1" applyAlignment="1">
      <alignment horizontal="center"/>
    </xf>
    <xf numFmtId="185" fontId="1" fillId="6" borderId="15" xfId="0" quotePrefix="1" applyNumberFormat="1" applyFont="1" applyFill="1" applyBorder="1" applyAlignment="1">
      <alignment horizontal="center" vertical="center"/>
    </xf>
    <xf numFmtId="185" fontId="1" fillId="6" borderId="15" xfId="0" applyNumberFormat="1" applyFont="1" applyFill="1" applyBorder="1" applyAlignment="1">
      <alignment horizontal="center" vertical="center"/>
    </xf>
    <xf numFmtId="185" fontId="1" fillId="6" borderId="15" xfId="0" applyNumberFormat="1" applyFont="1" applyFill="1" applyBorder="1" applyAlignment="1">
      <alignment horizontal="center"/>
    </xf>
    <xf numFmtId="185" fontId="6" fillId="2" borderId="15" xfId="0" applyNumberFormat="1" applyFont="1" applyFill="1" applyBorder="1" applyAlignment="1">
      <alignment horizontal="center" vertical="center"/>
    </xf>
    <xf numFmtId="185" fontId="6" fillId="0" borderId="15" xfId="0" applyNumberFormat="1" applyFont="1" applyBorder="1" applyAlignment="1">
      <alignment horizontal="center" vertical="center"/>
    </xf>
    <xf numFmtId="185" fontId="6" fillId="2" borderId="15" xfId="0" applyNumberFormat="1" applyFont="1" applyFill="1" applyBorder="1" applyAlignment="1">
      <alignment horizontal="center" vertical="center" wrapText="1"/>
    </xf>
    <xf numFmtId="185" fontId="1" fillId="15" borderId="15" xfId="0" quotePrefix="1" applyNumberFormat="1" applyFont="1" applyFill="1" applyBorder="1" applyAlignment="1">
      <alignment horizontal="center" vertical="center"/>
    </xf>
    <xf numFmtId="185" fontId="1" fillId="15" borderId="15" xfId="0" applyNumberFormat="1" applyFont="1" applyFill="1" applyBorder="1" applyAlignment="1">
      <alignment horizontal="center" vertical="center"/>
    </xf>
    <xf numFmtId="185" fontId="1" fillId="15" borderId="15" xfId="0" applyNumberFormat="1" applyFont="1" applyFill="1" applyBorder="1" applyAlignment="1">
      <alignment horizontal="center"/>
    </xf>
    <xf numFmtId="2" fontId="1" fillId="16" borderId="15" xfId="0" quotePrefix="1" applyNumberFormat="1" applyFont="1" applyFill="1" applyBorder="1" applyAlignment="1">
      <alignment horizontal="center" vertical="center"/>
    </xf>
    <xf numFmtId="185" fontId="1" fillId="16" borderId="15" xfId="0" quotePrefix="1" applyNumberFormat="1" applyFont="1" applyFill="1" applyBorder="1" applyAlignment="1">
      <alignment horizontal="center" vertical="center"/>
    </xf>
    <xf numFmtId="185" fontId="1" fillId="16" borderId="15" xfId="0" applyNumberFormat="1" applyFont="1" applyFill="1" applyBorder="1" applyAlignment="1">
      <alignment horizontal="center" vertical="center"/>
    </xf>
    <xf numFmtId="185" fontId="1" fillId="16" borderId="15" xfId="0" applyNumberFormat="1" applyFont="1" applyFill="1" applyBorder="1" applyAlignment="1">
      <alignment horizontal="center"/>
    </xf>
    <xf numFmtId="185" fontId="1" fillId="17" borderId="15" xfId="0" quotePrefix="1" applyNumberFormat="1" applyFont="1" applyFill="1" applyBorder="1" applyAlignment="1">
      <alignment horizontal="center" vertical="center"/>
    </xf>
    <xf numFmtId="185" fontId="1" fillId="17" borderId="15" xfId="0" applyNumberFormat="1" applyFont="1" applyFill="1" applyBorder="1" applyAlignment="1">
      <alignment horizontal="center"/>
    </xf>
    <xf numFmtId="185" fontId="1" fillId="17" borderId="15" xfId="0" applyNumberFormat="1" applyFont="1" applyFill="1" applyBorder="1" applyAlignment="1">
      <alignment horizontal="center" vertical="center"/>
    </xf>
    <xf numFmtId="185" fontId="6" fillId="17" borderId="15" xfId="0" applyNumberFormat="1" applyFont="1" applyFill="1" applyBorder="1" applyAlignment="1">
      <alignment horizontal="center" vertical="center"/>
    </xf>
    <xf numFmtId="185" fontId="1" fillId="18" borderId="15" xfId="0" quotePrefix="1" applyNumberFormat="1" applyFont="1" applyFill="1" applyBorder="1" applyAlignment="1">
      <alignment horizontal="center" vertical="center"/>
    </xf>
    <xf numFmtId="185" fontId="1" fillId="18" borderId="15" xfId="0" applyNumberFormat="1" applyFont="1" applyFill="1" applyBorder="1" applyAlignment="1">
      <alignment horizontal="center"/>
    </xf>
    <xf numFmtId="185" fontId="1" fillId="18" borderId="15" xfId="0" applyNumberFormat="1" applyFont="1" applyFill="1" applyBorder="1" applyAlignment="1">
      <alignment horizontal="center" vertical="center"/>
    </xf>
    <xf numFmtId="185" fontId="1" fillId="11" borderId="15" xfId="0" quotePrefix="1" applyNumberFormat="1" applyFont="1" applyFill="1" applyBorder="1" applyAlignment="1">
      <alignment horizontal="center" vertical="center"/>
    </xf>
    <xf numFmtId="185" fontId="1" fillId="11" borderId="15" xfId="0" applyNumberFormat="1" applyFont="1" applyFill="1" applyBorder="1" applyAlignment="1">
      <alignment horizontal="center" vertical="center"/>
    </xf>
    <xf numFmtId="185" fontId="1" fillId="11" borderId="15" xfId="0" applyNumberFormat="1" applyFont="1" applyFill="1" applyBorder="1" applyAlignment="1">
      <alignment horizontal="center"/>
    </xf>
    <xf numFmtId="185" fontId="1" fillId="19" borderId="15" xfId="0" quotePrefix="1" applyNumberFormat="1" applyFont="1" applyFill="1" applyBorder="1" applyAlignment="1">
      <alignment horizontal="center" vertical="center"/>
    </xf>
    <xf numFmtId="185" fontId="1" fillId="19" borderId="15" xfId="0" applyNumberFormat="1" applyFont="1" applyFill="1" applyBorder="1" applyAlignment="1">
      <alignment horizontal="center"/>
    </xf>
    <xf numFmtId="185" fontId="1" fillId="19" borderId="15" xfId="0" applyNumberFormat="1" applyFont="1" applyFill="1" applyBorder="1" applyAlignment="1">
      <alignment horizontal="center" vertical="center"/>
    </xf>
    <xf numFmtId="185" fontId="56" fillId="2" borderId="15" xfId="0" applyNumberFormat="1" applyFont="1" applyFill="1" applyBorder="1" applyAlignment="1">
      <alignment horizontal="center" vertical="center"/>
    </xf>
    <xf numFmtId="185" fontId="3" fillId="10" borderId="15" xfId="0" applyNumberFormat="1" applyFont="1" applyFill="1" applyBorder="1" applyAlignment="1">
      <alignment horizontal="center" vertical="center"/>
    </xf>
    <xf numFmtId="185" fontId="3" fillId="2" borderId="15" xfId="0" applyNumberFormat="1" applyFont="1" applyFill="1" applyBorder="1" applyAlignment="1">
      <alignment horizontal="center" vertical="center"/>
    </xf>
    <xf numFmtId="185" fontId="3" fillId="2" borderId="15" xfId="0" applyNumberFormat="1" applyFont="1" applyFill="1" applyBorder="1" applyAlignment="1">
      <alignment horizontal="center"/>
    </xf>
    <xf numFmtId="185" fontId="3" fillId="0" borderId="15" xfId="0" applyNumberFormat="1" applyFont="1" applyBorder="1" applyAlignment="1">
      <alignment horizontal="center" vertical="center"/>
    </xf>
    <xf numFmtId="185" fontId="14" fillId="2" borderId="15" xfId="0" applyNumberFormat="1" applyFont="1" applyFill="1" applyBorder="1" applyAlignment="1">
      <alignment horizontal="center" vertical="center"/>
    </xf>
    <xf numFmtId="185" fontId="3" fillId="2" borderId="15" xfId="0" quotePrefix="1" applyNumberFormat="1" applyFont="1" applyFill="1" applyBorder="1" applyAlignment="1">
      <alignment horizontal="center" vertical="center"/>
    </xf>
    <xf numFmtId="185" fontId="14" fillId="2" borderId="15" xfId="3" quotePrefix="1" applyNumberFormat="1" applyFont="1" applyFill="1" applyBorder="1" applyAlignment="1">
      <alignment horizontal="center" vertical="center"/>
    </xf>
    <xf numFmtId="185" fontId="14" fillId="2" borderId="15" xfId="0" applyNumberFormat="1" applyFont="1" applyFill="1" applyBorder="1" applyAlignment="1">
      <alignment vertical="center"/>
    </xf>
    <xf numFmtId="2" fontId="1" fillId="6" borderId="15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6" fillId="5" borderId="15" xfId="0" applyNumberFormat="1" applyFont="1" applyFill="1" applyBorder="1" applyAlignment="1">
      <alignment horizontal="center" vertical="center"/>
    </xf>
    <xf numFmtId="2" fontId="6" fillId="12" borderId="15" xfId="0" applyNumberFormat="1" applyFont="1" applyFill="1" applyBorder="1" applyAlignment="1">
      <alignment horizontal="center" vertical="center"/>
    </xf>
    <xf numFmtId="2" fontId="6" fillId="7" borderId="15" xfId="0" applyNumberFormat="1" applyFont="1" applyFill="1" applyBorder="1" applyAlignment="1">
      <alignment horizontal="center" vertical="center"/>
    </xf>
    <xf numFmtId="2" fontId="6" fillId="7" borderId="58" xfId="0" applyNumberFormat="1" applyFont="1" applyFill="1" applyBorder="1" applyAlignment="1">
      <alignment horizontal="center" vertical="center"/>
    </xf>
    <xf numFmtId="2" fontId="6" fillId="7" borderId="37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6" fillId="7" borderId="15" xfId="0" applyNumberFormat="1" applyFont="1" applyFill="1" applyBorder="1" applyAlignment="1">
      <alignment horizontal="center"/>
    </xf>
    <xf numFmtId="2" fontId="1" fillId="7" borderId="41" xfId="0" applyNumberFormat="1" applyFont="1" applyFill="1" applyBorder="1" applyAlignment="1">
      <alignment horizontal="center" vertical="center"/>
    </xf>
    <xf numFmtId="2" fontId="1" fillId="10" borderId="35" xfId="0" applyNumberFormat="1" applyFont="1" applyFill="1" applyBorder="1" applyAlignment="1">
      <alignment horizontal="center" vertical="center"/>
    </xf>
    <xf numFmtId="2" fontId="1" fillId="7" borderId="54" xfId="0" applyNumberFormat="1" applyFont="1" applyFill="1" applyBorder="1" applyAlignment="1">
      <alignment horizontal="center" vertical="center"/>
    </xf>
    <xf numFmtId="2" fontId="1" fillId="10" borderId="38" xfId="0" applyNumberFormat="1" applyFont="1" applyFill="1" applyBorder="1" applyAlignment="1">
      <alignment horizontal="center" vertical="center"/>
    </xf>
    <xf numFmtId="1" fontId="1" fillId="0" borderId="47" xfId="0" applyNumberFormat="1" applyFont="1" applyBorder="1"/>
    <xf numFmtId="2" fontId="1" fillId="0" borderId="28" xfId="0" applyNumberFormat="1" applyFont="1" applyBorder="1"/>
    <xf numFmtId="1" fontId="1" fillId="2" borderId="47" xfId="0" applyNumberFormat="1" applyFont="1" applyFill="1" applyBorder="1" applyAlignment="1">
      <alignment horizontal="center" vertical="center"/>
    </xf>
    <xf numFmtId="1" fontId="17" fillId="7" borderId="15" xfId="0" applyNumberFormat="1" applyFont="1" applyFill="1" applyBorder="1" applyAlignment="1">
      <alignment horizontal="center" vertical="center"/>
    </xf>
    <xf numFmtId="2" fontId="1" fillId="0" borderId="45" xfId="0" applyNumberFormat="1" applyFont="1" applyBorder="1"/>
    <xf numFmtId="1" fontId="1" fillId="0" borderId="47" xfId="0" applyNumberFormat="1" applyFont="1" applyBorder="1" applyAlignment="1">
      <alignment horizontal="center" vertical="center"/>
    </xf>
    <xf numFmtId="1" fontId="1" fillId="0" borderId="0" xfId="0" applyNumberFormat="1" applyFont="1"/>
    <xf numFmtId="2" fontId="14" fillId="2" borderId="15" xfId="2" applyNumberFormat="1" applyFont="1" applyFill="1" applyBorder="1" applyAlignment="1">
      <alignment vertical="center"/>
    </xf>
    <xf numFmtId="2" fontId="14" fillId="2" borderId="45" xfId="2" applyNumberFormat="1" applyFont="1" applyFill="1" applyBorder="1" applyAlignment="1">
      <alignment horizontal="center" vertical="center"/>
    </xf>
    <xf numFmtId="2" fontId="78" fillId="7" borderId="15" xfId="0" applyNumberFormat="1" applyFont="1" applyFill="1" applyBorder="1" applyAlignment="1">
      <alignment horizontal="center" vertical="center"/>
    </xf>
    <xf numFmtId="2" fontId="77" fillId="7" borderId="15" xfId="2" applyNumberFormat="1" applyFont="1" applyFill="1" applyBorder="1" applyAlignment="1">
      <alignment horizontal="center" vertical="center"/>
    </xf>
    <xf numFmtId="2" fontId="6" fillId="9" borderId="41" xfId="0" applyNumberFormat="1" applyFont="1" applyFill="1" applyBorder="1" applyAlignment="1">
      <alignment horizontal="center" vertical="center"/>
    </xf>
    <xf numFmtId="2" fontId="6" fillId="9" borderId="35" xfId="0" applyNumberFormat="1" applyFont="1" applyFill="1" applyBorder="1" applyAlignment="1">
      <alignment horizontal="center" vertical="center"/>
    </xf>
    <xf numFmtId="2" fontId="6" fillId="9" borderId="41" xfId="0" applyNumberFormat="1" applyFont="1" applyFill="1" applyBorder="1" applyAlignment="1">
      <alignment horizontal="center"/>
    </xf>
    <xf numFmtId="2" fontId="6" fillId="9" borderId="35" xfId="0" applyNumberFormat="1" applyFont="1" applyFill="1" applyBorder="1" applyAlignment="1">
      <alignment horizontal="center"/>
    </xf>
    <xf numFmtId="2" fontId="1" fillId="9" borderId="35" xfId="0" applyNumberFormat="1" applyFont="1" applyFill="1" applyBorder="1" applyAlignment="1">
      <alignment horizontal="center"/>
    </xf>
    <xf numFmtId="2" fontId="6" fillId="9" borderId="54" xfId="0" applyNumberFormat="1" applyFont="1" applyFill="1" applyBorder="1" applyAlignment="1">
      <alignment horizontal="center" vertical="center"/>
    </xf>
    <xf numFmtId="2" fontId="1" fillId="9" borderId="38" xfId="0" applyNumberFormat="1" applyFont="1" applyFill="1" applyBorder="1" applyAlignment="1">
      <alignment horizontal="center"/>
    </xf>
    <xf numFmtId="2" fontId="39" fillId="9" borderId="35" xfId="0" applyNumberFormat="1" applyFont="1" applyFill="1" applyBorder="1" applyAlignment="1">
      <alignment horizontal="center" vertical="center"/>
    </xf>
    <xf numFmtId="1" fontId="14" fillId="2" borderId="15" xfId="2" applyNumberFormat="1" applyFont="1" applyFill="1" applyBorder="1" applyAlignment="1">
      <alignment horizontal="center" vertical="center"/>
    </xf>
    <xf numFmtId="1" fontId="14" fillId="2" borderId="57" xfId="2" applyNumberFormat="1" applyFont="1" applyFill="1" applyBorder="1" applyAlignment="1">
      <alignment horizontal="center" vertical="center"/>
    </xf>
    <xf numFmtId="2" fontId="14" fillId="2" borderId="45" xfId="2" applyNumberFormat="1" applyFont="1" applyFill="1" applyBorder="1" applyAlignment="1">
      <alignment horizontal="left" vertical="center" wrapText="1"/>
    </xf>
    <xf numFmtId="2" fontId="78" fillId="2" borderId="15" xfId="0" applyNumberFormat="1" applyFont="1" applyFill="1" applyBorder="1" applyAlignment="1">
      <alignment horizontal="center" vertical="center"/>
    </xf>
    <xf numFmtId="2" fontId="77" fillId="2" borderId="15" xfId="2" applyNumberFormat="1" applyFont="1" applyFill="1" applyBorder="1" applyAlignment="1">
      <alignment horizontal="center" vertical="center"/>
    </xf>
    <xf numFmtId="1" fontId="78" fillId="2" borderId="15" xfId="0" applyNumberFormat="1" applyFont="1" applyFill="1" applyBorder="1" applyAlignment="1">
      <alignment horizontal="center" vertical="center"/>
    </xf>
    <xf numFmtId="2" fontId="1" fillId="10" borderId="37" xfId="0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6" fillId="2" borderId="0" xfId="2" applyNumberFormat="1" applyFont="1" applyFill="1"/>
    <xf numFmtId="2" fontId="1" fillId="10" borderId="58" xfId="0" applyNumberFormat="1" applyFont="1" applyFill="1" applyBorder="1"/>
    <xf numFmtId="2" fontId="1" fillId="10" borderId="59" xfId="0" applyNumberFormat="1" applyFont="1" applyFill="1" applyBorder="1"/>
    <xf numFmtId="2" fontId="8" fillId="2" borderId="0" xfId="2" applyNumberFormat="1" applyFont="1" applyFill="1"/>
    <xf numFmtId="2" fontId="1" fillId="10" borderId="35" xfId="0" applyNumberFormat="1" applyFont="1" applyFill="1" applyBorder="1"/>
    <xf numFmtId="2" fontId="1" fillId="10" borderId="37" xfId="0" applyNumberFormat="1" applyFont="1" applyFill="1" applyBorder="1"/>
    <xf numFmtId="2" fontId="1" fillId="10" borderId="38" xfId="0" applyNumberFormat="1" applyFont="1" applyFill="1" applyBorder="1"/>
    <xf numFmtId="2" fontId="6" fillId="10" borderId="15" xfId="0" applyNumberFormat="1" applyFont="1" applyFill="1" applyBorder="1" applyAlignment="1">
      <alignment horizontal="center" vertical="center"/>
    </xf>
    <xf numFmtId="1" fontId="6" fillId="7" borderId="15" xfId="0" applyNumberFormat="1" applyFont="1" applyFill="1" applyBorder="1" applyAlignment="1">
      <alignment horizontal="center" vertical="center"/>
    </xf>
    <xf numFmtId="2" fontId="1" fillId="0" borderId="48" xfId="0" applyNumberFormat="1" applyFont="1" applyBorder="1"/>
    <xf numFmtId="2" fontId="17" fillId="6" borderId="15" xfId="0" applyNumberFormat="1" applyFont="1" applyFill="1" applyBorder="1" applyAlignment="1">
      <alignment horizontal="center" vertical="center"/>
    </xf>
    <xf numFmtId="2" fontId="77" fillId="6" borderId="15" xfId="2" applyNumberFormat="1" applyFont="1" applyFill="1" applyBorder="1" applyAlignment="1">
      <alignment horizontal="center" vertical="center"/>
    </xf>
    <xf numFmtId="2" fontId="14" fillId="2" borderId="15" xfId="0" applyNumberFormat="1" applyFont="1" applyFill="1" applyBorder="1" applyAlignment="1">
      <alignment horizontal="center" vertical="center" wrapText="1"/>
    </xf>
    <xf numFmtId="2" fontId="14" fillId="2" borderId="0" xfId="0" applyNumberFormat="1" applyFont="1" applyFill="1" applyAlignment="1">
      <alignment horizontal="center" vertical="center"/>
    </xf>
    <xf numFmtId="1" fontId="17" fillId="2" borderId="15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Alignment="1">
      <alignment horizontal="center" vertical="center" wrapText="1"/>
    </xf>
    <xf numFmtId="2" fontId="17" fillId="2" borderId="15" xfId="0" applyNumberFormat="1" applyFont="1" applyFill="1" applyBorder="1" applyAlignment="1">
      <alignment horizontal="center" vertical="center"/>
    </xf>
    <xf numFmtId="2" fontId="17" fillId="14" borderId="15" xfId="0" applyNumberFormat="1" applyFont="1" applyFill="1" applyBorder="1" applyAlignment="1">
      <alignment horizontal="center" vertical="center"/>
    </xf>
    <xf numFmtId="2" fontId="17" fillId="5" borderId="15" xfId="0" applyNumberFormat="1" applyFont="1" applyFill="1" applyBorder="1" applyAlignment="1">
      <alignment horizontal="center" vertical="center"/>
    </xf>
    <xf numFmtId="2" fontId="17" fillId="7" borderId="15" xfId="0" applyNumberFormat="1" applyFont="1" applyFill="1" applyBorder="1" applyAlignment="1">
      <alignment horizontal="center" vertical="center"/>
    </xf>
    <xf numFmtId="2" fontId="17" fillId="17" borderId="15" xfId="0" applyNumberFormat="1" applyFont="1" applyFill="1" applyBorder="1" applyAlignment="1">
      <alignment horizontal="center" vertical="center"/>
    </xf>
    <xf numFmtId="2" fontId="17" fillId="11" borderId="15" xfId="0" applyNumberFormat="1" applyFont="1" applyFill="1" applyBorder="1" applyAlignment="1">
      <alignment horizontal="center" vertical="center"/>
    </xf>
    <xf numFmtId="2" fontId="77" fillId="14" borderId="15" xfId="2" applyNumberFormat="1" applyFont="1" applyFill="1" applyBorder="1" applyAlignment="1">
      <alignment horizontal="center" vertical="center"/>
    </xf>
    <xf numFmtId="1" fontId="17" fillId="14" borderId="15" xfId="0" applyNumberFormat="1" applyFont="1" applyFill="1" applyBorder="1" applyAlignment="1">
      <alignment horizontal="center" vertical="center"/>
    </xf>
    <xf numFmtId="1" fontId="17" fillId="14" borderId="15" xfId="0" quotePrefix="1" applyNumberFormat="1" applyFont="1" applyFill="1" applyBorder="1" applyAlignment="1">
      <alignment horizontal="center" vertical="center"/>
    </xf>
    <xf numFmtId="2" fontId="77" fillId="5" borderId="15" xfId="2" applyNumberFormat="1" applyFont="1" applyFill="1" applyBorder="1" applyAlignment="1">
      <alignment horizontal="center" vertical="center"/>
    </xf>
    <xf numFmtId="1" fontId="17" fillId="5" borderId="15" xfId="0" applyNumberFormat="1" applyFont="1" applyFill="1" applyBorder="1" applyAlignment="1">
      <alignment horizontal="center" vertical="center"/>
    </xf>
    <xf numFmtId="1" fontId="17" fillId="7" borderId="15" xfId="0" quotePrefix="1" applyNumberFormat="1" applyFont="1" applyFill="1" applyBorder="1" applyAlignment="1">
      <alignment horizontal="center" vertical="center"/>
    </xf>
    <xf numFmtId="2" fontId="77" fillId="17" borderId="15" xfId="2" applyNumberFormat="1" applyFont="1" applyFill="1" applyBorder="1" applyAlignment="1">
      <alignment horizontal="center" vertical="center"/>
    </xf>
    <xf numFmtId="1" fontId="17" fillId="17" borderId="15" xfId="0" applyNumberFormat="1" applyFont="1" applyFill="1" applyBorder="1" applyAlignment="1">
      <alignment horizontal="center" vertical="center"/>
    </xf>
    <xf numFmtId="1" fontId="17" fillId="17" borderId="15" xfId="0" quotePrefix="1" applyNumberFormat="1" applyFont="1" applyFill="1" applyBorder="1" applyAlignment="1">
      <alignment horizontal="center" vertical="center"/>
    </xf>
    <xf numFmtId="2" fontId="77" fillId="11" borderId="15" xfId="2" applyNumberFormat="1" applyFont="1" applyFill="1" applyBorder="1" applyAlignment="1">
      <alignment horizontal="center" vertical="center"/>
    </xf>
    <xf numFmtId="1" fontId="17" fillId="11" borderId="15" xfId="0" applyNumberFormat="1" applyFont="1" applyFill="1" applyBorder="1" applyAlignment="1">
      <alignment horizontal="center" vertical="center"/>
    </xf>
    <xf numFmtId="1" fontId="17" fillId="11" borderId="15" xfId="0" quotePrefix="1" applyNumberFormat="1" applyFont="1" applyFill="1" applyBorder="1" applyAlignment="1">
      <alignment horizontal="center" vertical="center"/>
    </xf>
    <xf numFmtId="2" fontId="1" fillId="5" borderId="15" xfId="0" applyNumberFormat="1" applyFont="1" applyFill="1" applyBorder="1" applyAlignment="1">
      <alignment horizontal="center" vertical="center"/>
    </xf>
    <xf numFmtId="2" fontId="1" fillId="7" borderId="15" xfId="0" applyNumberFormat="1" applyFont="1" applyFill="1" applyBorder="1" applyAlignment="1">
      <alignment horizontal="center" vertical="center"/>
    </xf>
    <xf numFmtId="2" fontId="1" fillId="17" borderId="15" xfId="0" applyNumberFormat="1" applyFont="1" applyFill="1" applyBorder="1" applyAlignment="1">
      <alignment horizontal="center" vertical="center"/>
    </xf>
    <xf numFmtId="2" fontId="1" fillId="11" borderId="15" xfId="0" applyNumberFormat="1" applyFont="1" applyFill="1" applyBorder="1" applyAlignment="1">
      <alignment horizontal="center" vertical="center"/>
    </xf>
    <xf numFmtId="2" fontId="1" fillId="14" borderId="15" xfId="0" applyNumberFormat="1" applyFont="1" applyFill="1" applyBorder="1"/>
    <xf numFmtId="2" fontId="1" fillId="5" borderId="15" xfId="0" applyNumberFormat="1" applyFont="1" applyFill="1" applyBorder="1"/>
    <xf numFmtId="2" fontId="1" fillId="7" borderId="15" xfId="0" applyNumberFormat="1" applyFont="1" applyFill="1" applyBorder="1" applyAlignment="1">
      <alignment horizontal="center"/>
    </xf>
    <xf numFmtId="2" fontId="1" fillId="7" borderId="15" xfId="0" applyNumberFormat="1" applyFont="1" applyFill="1" applyBorder="1"/>
    <xf numFmtId="2" fontId="1" fillId="17" borderId="15" xfId="0" applyNumberFormat="1" applyFont="1" applyFill="1" applyBorder="1"/>
    <xf numFmtId="2" fontId="1" fillId="11" borderId="15" xfId="0" applyNumberFormat="1" applyFont="1" applyFill="1" applyBorder="1"/>
    <xf numFmtId="2" fontId="1" fillId="14" borderId="47" xfId="0" applyNumberFormat="1" applyFont="1" applyFill="1" applyBorder="1" applyAlignment="1">
      <alignment horizontal="center" vertical="center"/>
    </xf>
    <xf numFmtId="2" fontId="1" fillId="14" borderId="0" xfId="0" applyNumberFormat="1" applyFont="1" applyFill="1" applyAlignment="1">
      <alignment horizontal="center" vertical="center"/>
    </xf>
    <xf numFmtId="2" fontId="1" fillId="14" borderId="0" xfId="0" applyNumberFormat="1" applyFont="1" applyFill="1" applyAlignment="1">
      <alignment vertical="center"/>
    </xf>
    <xf numFmtId="2" fontId="1" fillId="14" borderId="0" xfId="0" applyNumberFormat="1" applyFont="1" applyFill="1"/>
    <xf numFmtId="2" fontId="1" fillId="7" borderId="47" xfId="0" applyNumberFormat="1" applyFont="1" applyFill="1" applyBorder="1" applyAlignment="1">
      <alignment horizontal="center" vertical="center"/>
    </xf>
    <xf numFmtId="2" fontId="1" fillId="7" borderId="0" xfId="0" applyNumberFormat="1" applyFont="1" applyFill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 vertical="center"/>
    </xf>
    <xf numFmtId="2" fontId="1" fillId="7" borderId="0" xfId="0" applyNumberFormat="1" applyFont="1" applyFill="1"/>
    <xf numFmtId="2" fontId="1" fillId="2" borderId="47" xfId="0" applyNumberFormat="1" applyFont="1" applyFill="1" applyBorder="1" applyAlignment="1">
      <alignment horizontal="center" vertical="center"/>
    </xf>
    <xf numFmtId="2" fontId="1" fillId="2" borderId="48" xfId="0" applyNumberFormat="1" applyFont="1" applyFill="1" applyBorder="1" applyAlignment="1">
      <alignment horizontal="center" vertical="center"/>
    </xf>
    <xf numFmtId="2" fontId="1" fillId="19" borderId="15" xfId="0" applyNumberFormat="1" applyFont="1" applyFill="1" applyBorder="1"/>
    <xf numFmtId="2" fontId="17" fillId="15" borderId="15" xfId="0" applyNumberFormat="1" applyFont="1" applyFill="1" applyBorder="1" applyAlignment="1">
      <alignment horizontal="center" vertical="center"/>
    </xf>
    <xf numFmtId="2" fontId="17" fillId="16" borderId="15" xfId="0" applyNumberFormat="1" applyFont="1" applyFill="1" applyBorder="1" applyAlignment="1">
      <alignment horizontal="center" vertical="center"/>
    </xf>
    <xf numFmtId="2" fontId="17" fillId="18" borderId="15" xfId="0" applyNumberFormat="1" applyFont="1" applyFill="1" applyBorder="1" applyAlignment="1">
      <alignment horizontal="center" vertical="center"/>
    </xf>
    <xf numFmtId="2" fontId="17" fillId="19" borderId="15" xfId="0" applyNumberFormat="1" applyFont="1" applyFill="1" applyBorder="1" applyAlignment="1">
      <alignment horizontal="center" vertical="center"/>
    </xf>
    <xf numFmtId="1" fontId="17" fillId="6" borderId="15" xfId="0" applyNumberFormat="1" applyFont="1" applyFill="1" applyBorder="1" applyAlignment="1">
      <alignment horizontal="center" vertical="center"/>
    </xf>
    <xf numFmtId="1" fontId="17" fillId="6" borderId="15" xfId="0" quotePrefix="1" applyNumberFormat="1" applyFont="1" applyFill="1" applyBorder="1" applyAlignment="1">
      <alignment horizontal="center" vertical="center"/>
    </xf>
    <xf numFmtId="1" fontId="1" fillId="6" borderId="15" xfId="0" quotePrefix="1" applyNumberFormat="1" applyFont="1" applyFill="1" applyBorder="1" applyAlignment="1">
      <alignment horizontal="center" vertical="center"/>
    </xf>
    <xf numFmtId="2" fontId="77" fillId="15" borderId="15" xfId="2" applyNumberFormat="1" applyFont="1" applyFill="1" applyBorder="1" applyAlignment="1">
      <alignment horizontal="center" vertical="center"/>
    </xf>
    <xf numFmtId="1" fontId="17" fillId="15" borderId="15" xfId="0" quotePrefix="1" applyNumberFormat="1" applyFont="1" applyFill="1" applyBorder="1" applyAlignment="1">
      <alignment horizontal="center" vertical="center"/>
    </xf>
    <xf numFmtId="2" fontId="77" fillId="16" borderId="15" xfId="2" applyNumberFormat="1" applyFont="1" applyFill="1" applyBorder="1" applyAlignment="1">
      <alignment horizontal="center" vertical="center"/>
    </xf>
    <xf numFmtId="1" fontId="17" fillId="16" borderId="15" xfId="0" applyNumberFormat="1" applyFont="1" applyFill="1" applyBorder="1" applyAlignment="1">
      <alignment horizontal="center" vertical="center"/>
    </xf>
    <xf numFmtId="1" fontId="17" fillId="16" borderId="15" xfId="0" quotePrefix="1" applyNumberFormat="1" applyFont="1" applyFill="1" applyBorder="1" applyAlignment="1">
      <alignment horizontal="center" vertical="center"/>
    </xf>
    <xf numFmtId="2" fontId="77" fillId="18" borderId="15" xfId="2" applyNumberFormat="1" applyFont="1" applyFill="1" applyBorder="1" applyAlignment="1">
      <alignment horizontal="center" vertical="center"/>
    </xf>
    <xf numFmtId="1" fontId="17" fillId="18" borderId="15" xfId="0" applyNumberFormat="1" applyFont="1" applyFill="1" applyBorder="1" applyAlignment="1">
      <alignment horizontal="center" vertical="center"/>
    </xf>
    <xf numFmtId="1" fontId="17" fillId="18" borderId="15" xfId="0" quotePrefix="1" applyNumberFormat="1" applyFont="1" applyFill="1" applyBorder="1" applyAlignment="1">
      <alignment horizontal="center" vertical="center"/>
    </xf>
    <xf numFmtId="2" fontId="77" fillId="19" borderId="15" xfId="2" applyNumberFormat="1" applyFont="1" applyFill="1" applyBorder="1" applyAlignment="1">
      <alignment horizontal="center" vertical="center"/>
    </xf>
    <xf numFmtId="1" fontId="17" fillId="19" borderId="15" xfId="0" quotePrefix="1" applyNumberFormat="1" applyFont="1" applyFill="1" applyBorder="1" applyAlignment="1">
      <alignment horizontal="center" vertical="center"/>
    </xf>
    <xf numFmtId="1" fontId="17" fillId="19" borderId="15" xfId="0" applyNumberFormat="1" applyFont="1" applyFill="1" applyBorder="1" applyAlignment="1">
      <alignment horizontal="center" vertical="center"/>
    </xf>
    <xf numFmtId="2" fontId="1" fillId="15" borderId="15" xfId="0" applyNumberFormat="1" applyFont="1" applyFill="1" applyBorder="1" applyAlignment="1">
      <alignment horizontal="center" vertical="center"/>
    </xf>
    <xf numFmtId="2" fontId="1" fillId="18" borderId="15" xfId="0" applyNumberFormat="1" applyFont="1" applyFill="1" applyBorder="1" applyAlignment="1">
      <alignment horizontal="center" vertical="center"/>
    </xf>
    <xf numFmtId="2" fontId="1" fillId="19" borderId="15" xfId="0" applyNumberFormat="1" applyFont="1" applyFill="1" applyBorder="1" applyAlignment="1">
      <alignment horizontal="center" vertical="center"/>
    </xf>
    <xf numFmtId="2" fontId="1" fillId="6" borderId="15" xfId="0" applyNumberFormat="1" applyFont="1" applyFill="1" applyBorder="1"/>
    <xf numFmtId="2" fontId="1" fillId="15" borderId="15" xfId="0" applyNumberFormat="1" applyFont="1" applyFill="1" applyBorder="1"/>
    <xf numFmtId="2" fontId="1" fillId="16" borderId="15" xfId="0" applyNumberFormat="1" applyFont="1" applyFill="1" applyBorder="1"/>
    <xf numFmtId="2" fontId="1" fillId="18" borderId="15" xfId="0" applyNumberFormat="1" applyFont="1" applyFill="1" applyBorder="1"/>
    <xf numFmtId="2" fontId="1" fillId="6" borderId="47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2" fontId="1" fillId="6" borderId="0" xfId="0" applyNumberFormat="1" applyFont="1" applyFill="1"/>
    <xf numFmtId="2" fontId="1" fillId="19" borderId="47" xfId="0" applyNumberFormat="1" applyFont="1" applyFill="1" applyBorder="1" applyAlignment="1">
      <alignment horizontal="center" vertical="center"/>
    </xf>
    <xf numFmtId="2" fontId="1" fillId="19" borderId="0" xfId="0" applyNumberFormat="1" applyFont="1" applyFill="1" applyAlignment="1">
      <alignment horizontal="center" vertical="center"/>
    </xf>
    <xf numFmtId="2" fontId="1" fillId="19" borderId="48" xfId="0" applyNumberFormat="1" applyFont="1" applyFill="1" applyBorder="1" applyAlignment="1">
      <alignment horizontal="center" vertical="center"/>
    </xf>
    <xf numFmtId="2" fontId="1" fillId="19" borderId="0" xfId="0" applyNumberFormat="1" applyFont="1" applyFill="1"/>
    <xf numFmtId="1" fontId="17" fillId="15" borderId="15" xfId="0" applyNumberFormat="1" applyFont="1" applyFill="1" applyBorder="1" applyAlignment="1">
      <alignment horizontal="center" vertical="center"/>
    </xf>
    <xf numFmtId="185" fontId="1" fillId="15" borderId="15" xfId="0" applyNumberFormat="1" applyFont="1" applyFill="1" applyBorder="1"/>
    <xf numFmtId="2" fontId="78" fillId="5" borderId="15" xfId="0" applyNumberFormat="1" applyFont="1" applyFill="1" applyBorder="1" applyAlignment="1">
      <alignment horizontal="center" vertical="center"/>
    </xf>
    <xf numFmtId="2" fontId="14" fillId="5" borderId="15" xfId="0" applyNumberFormat="1" applyFont="1" applyFill="1" applyBorder="1" applyAlignment="1">
      <alignment horizontal="center" vertical="center" wrapText="1"/>
    </xf>
    <xf numFmtId="2" fontId="14" fillId="0" borderId="16" xfId="0" applyNumberFormat="1" applyFont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2" fontId="14" fillId="0" borderId="15" xfId="0" applyNumberFormat="1" applyFont="1" applyBorder="1" applyAlignment="1">
      <alignment horizontal="center" vertical="center" wrapText="1"/>
    </xf>
    <xf numFmtId="2" fontId="1" fillId="0" borderId="16" xfId="0" applyNumberFormat="1" applyFont="1" applyBorder="1" applyAlignment="1">
      <alignment horizontal="center" vertical="center" wrapText="1"/>
    </xf>
    <xf numFmtId="2" fontId="14" fillId="0" borderId="0" xfId="0" applyNumberFormat="1" applyFont="1" applyAlignment="1">
      <alignment horizontal="center" vertical="center" wrapText="1"/>
    </xf>
    <xf numFmtId="2" fontId="78" fillId="12" borderId="15" xfId="0" applyNumberFormat="1" applyFont="1" applyFill="1" applyBorder="1" applyAlignment="1">
      <alignment horizontal="center" vertical="center"/>
    </xf>
    <xf numFmtId="2" fontId="77" fillId="12" borderId="15" xfId="2" applyNumberFormat="1" applyFont="1" applyFill="1" applyBorder="1" applyAlignment="1">
      <alignment horizontal="center" vertical="center"/>
    </xf>
    <xf numFmtId="2" fontId="14" fillId="12" borderId="15" xfId="0" applyNumberFormat="1" applyFont="1" applyFill="1" applyBorder="1" applyAlignment="1">
      <alignment horizontal="center" vertical="center" wrapText="1"/>
    </xf>
    <xf numFmtId="2" fontId="1" fillId="12" borderId="15" xfId="0" applyNumberFormat="1" applyFont="1" applyFill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 wrapText="1"/>
    </xf>
    <xf numFmtId="2" fontId="14" fillId="0" borderId="25" xfId="0" applyNumberFormat="1" applyFont="1" applyBorder="1" applyAlignment="1">
      <alignment horizontal="center" vertical="center" wrapText="1"/>
    </xf>
    <xf numFmtId="2" fontId="1" fillId="0" borderId="36" xfId="0" applyNumberFormat="1" applyFont="1" applyBorder="1" applyAlignment="1">
      <alignment horizontal="center" vertical="center" wrapText="1"/>
    </xf>
    <xf numFmtId="1" fontId="14" fillId="2" borderId="15" xfId="2" applyNumberFormat="1" applyFont="1" applyFill="1" applyBorder="1" applyAlignment="1">
      <alignment horizontal="center" vertical="center" wrapText="1"/>
    </xf>
    <xf numFmtId="185" fontId="1" fillId="2" borderId="15" xfId="0" applyNumberFormat="1" applyFont="1" applyFill="1" applyBorder="1" applyAlignment="1">
      <alignment horizontal="center" vertical="center"/>
    </xf>
    <xf numFmtId="2" fontId="79" fillId="2" borderId="0" xfId="0" applyNumberFormat="1" applyFont="1" applyFill="1" applyAlignment="1">
      <alignment horizontal="center" vertical="center"/>
    </xf>
    <xf numFmtId="2" fontId="14" fillId="2" borderId="0" xfId="0" applyNumberFormat="1" applyFont="1" applyFill="1" applyAlignment="1">
      <alignment horizontal="center"/>
    </xf>
    <xf numFmtId="2" fontId="3" fillId="2" borderId="15" xfId="0" applyNumberFormat="1" applyFont="1" applyFill="1" applyBorder="1" applyAlignment="1">
      <alignment horizontal="center" vertical="center" wrapText="1"/>
    </xf>
    <xf numFmtId="2" fontId="14" fillId="2" borderId="15" xfId="3" applyNumberFormat="1" applyFont="1" applyFill="1" applyBorder="1" applyAlignment="1">
      <alignment horizontal="center" vertical="center" wrapText="1"/>
    </xf>
    <xf numFmtId="180" fontId="1" fillId="0" borderId="15" xfId="0" applyNumberFormat="1" applyFont="1" applyBorder="1" applyAlignment="1">
      <alignment horizontal="center" vertical="center"/>
    </xf>
    <xf numFmtId="185" fontId="1" fillId="0" borderId="15" xfId="0" applyNumberFormat="1" applyFont="1" applyBorder="1"/>
    <xf numFmtId="2" fontId="10" fillId="10" borderId="15" xfId="0" applyNumberFormat="1" applyFont="1" applyFill="1" applyBorder="1" applyAlignment="1">
      <alignment vertical="center"/>
    </xf>
    <xf numFmtId="2" fontId="10" fillId="5" borderId="15" xfId="0" applyNumberFormat="1" applyFont="1" applyFill="1" applyBorder="1" applyAlignment="1">
      <alignment vertical="center"/>
    </xf>
    <xf numFmtId="2" fontId="1" fillId="0" borderId="39" xfId="0" applyNumberFormat="1" applyFont="1" applyBorder="1"/>
    <xf numFmtId="2" fontId="1" fillId="0" borderId="40" xfId="0" applyNumberFormat="1" applyFont="1" applyBorder="1"/>
    <xf numFmtId="2" fontId="1" fillId="0" borderId="22" xfId="0" applyNumberFormat="1" applyFont="1" applyBorder="1"/>
    <xf numFmtId="2" fontId="1" fillId="0" borderId="52" xfId="0" applyNumberFormat="1" applyFont="1" applyBorder="1"/>
    <xf numFmtId="2" fontId="1" fillId="0" borderId="1" xfId="0" applyNumberFormat="1" applyFont="1" applyBorder="1"/>
    <xf numFmtId="2" fontId="1" fillId="0" borderId="67" xfId="0" applyNumberFormat="1" applyFont="1" applyBorder="1"/>
    <xf numFmtId="2" fontId="1" fillId="10" borderId="60" xfId="0" applyNumberFormat="1" applyFont="1" applyFill="1" applyBorder="1"/>
    <xf numFmtId="2" fontId="1" fillId="0" borderId="53" xfId="0" applyNumberFormat="1" applyFont="1" applyBorder="1"/>
    <xf numFmtId="2" fontId="1" fillId="0" borderId="64" xfId="0" applyNumberFormat="1" applyFont="1" applyBorder="1"/>
    <xf numFmtId="2" fontId="1" fillId="4" borderId="61" xfId="0" applyNumberFormat="1" applyFont="1" applyFill="1" applyBorder="1"/>
    <xf numFmtId="2" fontId="1" fillId="4" borderId="28" xfId="0" applyNumberFormat="1" applyFont="1" applyFill="1" applyBorder="1"/>
    <xf numFmtId="2" fontId="1" fillId="4" borderId="56" xfId="0" applyNumberFormat="1" applyFont="1" applyFill="1" applyBorder="1"/>
    <xf numFmtId="2" fontId="1" fillId="4" borderId="39" xfId="0" applyNumberFormat="1" applyFont="1" applyFill="1" applyBorder="1"/>
    <xf numFmtId="2" fontId="1" fillId="4" borderId="39" xfId="0" applyNumberFormat="1" applyFont="1" applyFill="1" applyBorder="1" applyAlignment="1">
      <alignment horizontal="center" vertical="center"/>
    </xf>
    <xf numFmtId="2" fontId="1" fillId="4" borderId="40" xfId="0" applyNumberFormat="1" applyFont="1" applyFill="1" applyBorder="1"/>
    <xf numFmtId="2" fontId="1" fillId="4" borderId="22" xfId="0" applyNumberFormat="1" applyFont="1" applyFill="1" applyBorder="1"/>
    <xf numFmtId="2" fontId="1" fillId="4" borderId="22" xfId="0" applyNumberFormat="1" applyFont="1" applyFill="1" applyBorder="1" applyAlignment="1">
      <alignment horizontal="center" vertical="center"/>
    </xf>
    <xf numFmtId="2" fontId="1" fillId="4" borderId="52" xfId="0" applyNumberFormat="1" applyFont="1" applyFill="1" applyBorder="1"/>
    <xf numFmtId="2" fontId="1" fillId="4" borderId="1" xfId="0" applyNumberFormat="1" applyFont="1" applyFill="1" applyBorder="1"/>
    <xf numFmtId="2" fontId="1" fillId="4" borderId="1" xfId="0" applyNumberFormat="1" applyFont="1" applyFill="1" applyBorder="1" applyAlignment="1">
      <alignment horizontal="center" vertical="center"/>
    </xf>
    <xf numFmtId="2" fontId="1" fillId="4" borderId="67" xfId="0" applyNumberFormat="1" applyFont="1" applyFill="1" applyBorder="1"/>
    <xf numFmtId="2" fontId="1" fillId="4" borderId="23" xfId="0" applyNumberFormat="1" applyFont="1" applyFill="1" applyBorder="1"/>
    <xf numFmtId="2" fontId="1" fillId="0" borderId="58" xfId="0" applyNumberFormat="1" applyFont="1" applyBorder="1" applyAlignment="1">
      <alignment horizontal="center" vertical="center"/>
    </xf>
    <xf numFmtId="2" fontId="1" fillId="10" borderId="58" xfId="0" applyNumberFormat="1" applyFont="1" applyFill="1" applyBorder="1" applyAlignment="1">
      <alignment horizontal="center" vertical="center"/>
    </xf>
    <xf numFmtId="2" fontId="1" fillId="10" borderId="59" xfId="0" applyNumberFormat="1" applyFont="1" applyFill="1" applyBorder="1" applyAlignment="1">
      <alignment horizontal="center" vertical="center"/>
    </xf>
    <xf numFmtId="2" fontId="1" fillId="9" borderId="41" xfId="0" applyNumberFormat="1" applyFont="1" applyFill="1" applyBorder="1" applyAlignment="1">
      <alignment horizontal="center" vertical="center"/>
    </xf>
    <xf numFmtId="2" fontId="1" fillId="0" borderId="35" xfId="0" applyNumberFormat="1" applyFont="1" applyBorder="1" applyAlignment="1">
      <alignment horizontal="center" vertical="center"/>
    </xf>
    <xf numFmtId="2" fontId="1" fillId="9" borderId="66" xfId="0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0" borderId="36" xfId="0" applyNumberFormat="1" applyFont="1" applyBorder="1" applyAlignment="1">
      <alignment horizontal="center" vertical="center"/>
    </xf>
    <xf numFmtId="2" fontId="1" fillId="0" borderId="58" xfId="0" applyNumberFormat="1" applyFont="1" applyBorder="1"/>
    <xf numFmtId="2" fontId="1" fillId="9" borderId="54" xfId="0" applyNumberFormat="1" applyFont="1" applyFill="1" applyBorder="1" applyAlignment="1">
      <alignment horizontal="center" vertical="center"/>
    </xf>
    <xf numFmtId="1" fontId="17" fillId="9" borderId="15" xfId="0" applyNumberFormat="1" applyFont="1" applyFill="1" applyBorder="1" applyAlignment="1">
      <alignment horizontal="center" vertical="center"/>
    </xf>
    <xf numFmtId="1" fontId="17" fillId="9" borderId="15" xfId="0" quotePrefix="1" applyNumberFormat="1" applyFont="1" applyFill="1" applyBorder="1" applyAlignment="1">
      <alignment horizontal="center" vertical="center"/>
    </xf>
    <xf numFmtId="2" fontId="23" fillId="0" borderId="6" xfId="4" applyNumberFormat="1" applyFont="1" applyBorder="1" applyAlignment="1" applyProtection="1">
      <alignment horizontal="left" vertical="center" wrapText="1"/>
    </xf>
    <xf numFmtId="2" fontId="23" fillId="0" borderId="10" xfId="4" applyNumberFormat="1" applyFont="1" applyBorder="1" applyAlignment="1" applyProtection="1">
      <alignment horizontal="left" vertical="center" wrapText="1"/>
    </xf>
    <xf numFmtId="2" fontId="23" fillId="10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1" fontId="6" fillId="5" borderId="15" xfId="0" applyNumberFormat="1" applyFont="1" applyFill="1" applyBorder="1" applyAlignment="1">
      <alignment horizontal="center" vertical="center"/>
    </xf>
    <xf numFmtId="1" fontId="1" fillId="4" borderId="55" xfId="0" applyNumberFormat="1" applyFont="1" applyFill="1" applyBorder="1" applyAlignment="1">
      <alignment horizontal="center" vertical="center"/>
    </xf>
    <xf numFmtId="1" fontId="1" fillId="4" borderId="41" xfId="0" applyNumberFormat="1" applyFont="1" applyFill="1" applyBorder="1" applyAlignment="1">
      <alignment horizontal="center" vertical="center"/>
    </xf>
    <xf numFmtId="1" fontId="1" fillId="4" borderId="66" xfId="0" applyNumberFormat="1" applyFont="1" applyFill="1" applyBorder="1" applyAlignment="1">
      <alignment horizontal="center" vertical="center"/>
    </xf>
    <xf numFmtId="1" fontId="1" fillId="4" borderId="15" xfId="0" applyNumberFormat="1" applyFont="1" applyFill="1" applyBorder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1" fontId="5" fillId="0" borderId="41" xfId="0" applyNumberFormat="1" applyFont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1" fontId="6" fillId="10" borderId="57" xfId="0" applyNumberFormat="1" applyFont="1" applyFill="1" applyBorder="1" applyAlignment="1">
      <alignment horizontal="center" vertical="center"/>
    </xf>
    <xf numFmtId="1" fontId="5" fillId="0" borderId="22" xfId="0" applyNumberFormat="1" applyFont="1" applyBorder="1" applyAlignment="1">
      <alignment horizontal="center" vertical="center"/>
    </xf>
    <xf numFmtId="1" fontId="5" fillId="0" borderId="0" xfId="0" applyNumberFormat="1" applyFont="1"/>
    <xf numFmtId="1" fontId="5" fillId="0" borderId="18" xfId="0" applyNumberFormat="1" applyFont="1" applyBorder="1"/>
    <xf numFmtId="1" fontId="5" fillId="0" borderId="23" xfId="0" applyNumberFormat="1" applyFont="1" applyBorder="1"/>
    <xf numFmtId="1" fontId="5" fillId="0" borderId="35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1" fontId="5" fillId="0" borderId="28" xfId="0" applyNumberFormat="1" applyFont="1" applyBorder="1" applyAlignment="1">
      <alignment horizontal="center" vertical="center"/>
    </xf>
    <xf numFmtId="1" fontId="5" fillId="0" borderId="55" xfId="0" applyNumberFormat="1" applyFont="1" applyBorder="1" applyAlignment="1">
      <alignment horizontal="center" vertical="center"/>
    </xf>
    <xf numFmtId="1" fontId="5" fillId="2" borderId="42" xfId="0" quotePrefix="1" applyNumberFormat="1" applyFont="1" applyFill="1" applyBorder="1" applyAlignment="1">
      <alignment vertical="center"/>
    </xf>
    <xf numFmtId="1" fontId="5" fillId="0" borderId="17" xfId="0" applyNumberFormat="1" applyFont="1" applyBorder="1" applyAlignment="1">
      <alignment horizontal="center" vertical="center"/>
    </xf>
    <xf numFmtId="1" fontId="5" fillId="0" borderId="17" xfId="0" applyNumberFormat="1" applyFont="1" applyBorder="1"/>
    <xf numFmtId="1" fontId="5" fillId="0" borderId="43" xfId="0" applyNumberFormat="1" applyFont="1" applyBorder="1"/>
    <xf numFmtId="1" fontId="5" fillId="0" borderId="66" xfId="0" applyNumberFormat="1" applyFont="1" applyBorder="1" applyAlignment="1">
      <alignment horizontal="center" vertical="center"/>
    </xf>
    <xf numFmtId="1" fontId="5" fillId="2" borderId="68" xfId="0" quotePrefix="1" applyNumberFormat="1" applyFont="1" applyFill="1" applyBorder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/>
    <xf numFmtId="1" fontId="5" fillId="0" borderId="67" xfId="0" applyNumberFormat="1" applyFont="1" applyBorder="1"/>
    <xf numFmtId="1" fontId="5" fillId="10" borderId="29" xfId="0" applyNumberFormat="1" applyFont="1" applyFill="1" applyBorder="1"/>
    <xf numFmtId="1" fontId="5" fillId="0" borderId="28" xfId="0" applyNumberFormat="1" applyFont="1" applyBorder="1"/>
    <xf numFmtId="1" fontId="5" fillId="0" borderId="56" xfId="0" applyNumberFormat="1" applyFont="1" applyBorder="1"/>
    <xf numFmtId="0" fontId="23" fillId="2" borderId="12" xfId="0" applyFont="1" applyFill="1" applyBorder="1" applyAlignment="1" applyProtection="1">
      <alignment vertical="center" wrapText="1"/>
      <protection locked="0"/>
    </xf>
    <xf numFmtId="0" fontId="23" fillId="2" borderId="14" xfId="0" applyFont="1" applyFill="1" applyBorder="1" applyAlignment="1" applyProtection="1">
      <alignment vertical="center" wrapText="1"/>
      <protection locked="0"/>
    </xf>
    <xf numFmtId="1" fontId="23" fillId="0" borderId="12" xfId="0" applyNumberFormat="1" applyFont="1" applyBorder="1" applyAlignment="1">
      <alignment vertical="center" wrapText="1"/>
    </xf>
    <xf numFmtId="49" fontId="23" fillId="0" borderId="14" xfId="0" applyNumberFormat="1" applyFont="1" applyBorder="1" applyAlignment="1">
      <alignment vertical="center" wrapText="1"/>
    </xf>
    <xf numFmtId="178" fontId="1" fillId="0" borderId="14" xfId="0" applyNumberFormat="1" applyFont="1" applyBorder="1" applyAlignment="1">
      <alignment vertical="center" wrapText="1"/>
    </xf>
    <xf numFmtId="1" fontId="1" fillId="0" borderId="12" xfId="0" applyNumberFormat="1" applyFont="1" applyBorder="1" applyAlignment="1">
      <alignment vertical="center" wrapText="1"/>
    </xf>
    <xf numFmtId="170" fontId="23" fillId="0" borderId="6" xfId="0" applyNumberFormat="1" applyFont="1" applyBorder="1" applyAlignment="1" applyProtection="1">
      <alignment vertical="center" wrapText="1"/>
      <protection locked="0"/>
    </xf>
    <xf numFmtId="166" fontId="23" fillId="0" borderId="4" xfId="0" applyNumberFormat="1" applyFont="1" applyBorder="1" applyAlignment="1" applyProtection="1">
      <alignment vertical="center" wrapText="1"/>
      <protection locked="0"/>
    </xf>
    <xf numFmtId="171" fontId="23" fillId="0" borderId="10" xfId="0" applyNumberFormat="1" applyFont="1" applyBorder="1" applyAlignment="1">
      <alignment vertical="center" wrapText="1"/>
    </xf>
    <xf numFmtId="1" fontId="23" fillId="0" borderId="8" xfId="0" applyNumberFormat="1" applyFont="1" applyBorder="1" applyAlignment="1">
      <alignment vertical="center" wrapText="1"/>
    </xf>
    <xf numFmtId="170" fontId="23" fillId="0" borderId="10" xfId="0" applyNumberFormat="1" applyFont="1" applyBorder="1" applyAlignment="1" applyProtection="1">
      <alignment vertical="center" wrapText="1"/>
      <protection locked="0"/>
    </xf>
    <xf numFmtId="1" fontId="23" fillId="0" borderId="8" xfId="0" applyNumberFormat="1" applyFont="1" applyBorder="1" applyAlignment="1" applyProtection="1">
      <alignment vertical="center" wrapText="1"/>
      <protection locked="0"/>
    </xf>
    <xf numFmtId="166" fontId="0" fillId="0" borderId="15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23" fillId="0" borderId="0" xfId="0" applyNumberFormat="1" applyFont="1" applyAlignment="1">
      <alignment vertical="center"/>
    </xf>
    <xf numFmtId="1" fontId="23" fillId="0" borderId="15" xfId="1" applyNumberFormat="1" applyFont="1" applyBorder="1" applyAlignment="1" applyProtection="1">
      <alignment horizontal="center" vertical="center" wrapText="1"/>
    </xf>
    <xf numFmtId="1" fontId="24" fillId="9" borderId="15" xfId="1" applyNumberFormat="1" applyFont="1" applyFill="1" applyBorder="1" applyAlignment="1" applyProtection="1">
      <alignment horizontal="center" vertical="center" wrapText="1"/>
    </xf>
    <xf numFmtId="1" fontId="24" fillId="2" borderId="15" xfId="1" applyNumberFormat="1" applyFont="1" applyFill="1" applyBorder="1" applyAlignment="1" applyProtection="1">
      <alignment horizontal="center" vertical="center" wrapText="1"/>
    </xf>
    <xf numFmtId="0" fontId="35" fillId="2" borderId="15" xfId="0" applyFont="1" applyFill="1" applyBorder="1" applyAlignment="1" applyProtection="1">
      <alignment horizontal="center" vertical="center" wrapText="1"/>
      <protection locked="0"/>
    </xf>
    <xf numFmtId="2" fontId="23" fillId="0" borderId="54" xfId="4" applyNumberFormat="1" applyFont="1" applyBorder="1" applyAlignment="1" applyProtection="1">
      <alignment horizontal="center" vertical="center" wrapText="1"/>
    </xf>
    <xf numFmtId="164" fontId="1" fillId="2" borderId="15" xfId="0" applyNumberFormat="1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/>
    </xf>
    <xf numFmtId="164" fontId="1" fillId="0" borderId="15" xfId="0" applyNumberFormat="1" applyFont="1" applyBorder="1" applyAlignment="1">
      <alignment horizontal="center" vertical="center"/>
    </xf>
    <xf numFmtId="164" fontId="1" fillId="10" borderId="15" xfId="0" applyNumberFormat="1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164" fontId="1" fillId="10" borderId="15" xfId="0" applyNumberFormat="1" applyFont="1" applyFill="1" applyBorder="1" applyAlignment="1">
      <alignment horizontal="center"/>
    </xf>
    <xf numFmtId="164" fontId="1" fillId="9" borderId="15" xfId="0" applyNumberFormat="1" applyFont="1" applyFill="1" applyBorder="1" applyAlignment="1">
      <alignment horizontal="center"/>
    </xf>
    <xf numFmtId="164" fontId="1" fillId="0" borderId="15" xfId="0" applyNumberFormat="1" applyFont="1" applyBorder="1"/>
    <xf numFmtId="164" fontId="6" fillId="2" borderId="15" xfId="0" applyNumberFormat="1" applyFont="1" applyFill="1" applyBorder="1" applyAlignment="1">
      <alignment horizontal="center" vertical="center"/>
    </xf>
    <xf numFmtId="164" fontId="6" fillId="2" borderId="15" xfId="0" applyNumberFormat="1" applyFont="1" applyFill="1" applyBorder="1"/>
    <xf numFmtId="164" fontId="6" fillId="10" borderId="15" xfId="0" applyNumberFormat="1" applyFont="1" applyFill="1" applyBorder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64" fontId="6" fillId="9" borderId="15" xfId="0" applyNumberFormat="1" applyFont="1" applyFill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64" fontId="0" fillId="10" borderId="15" xfId="0" applyNumberFormat="1" applyFill="1" applyBorder="1" applyAlignment="1">
      <alignment horizontal="center" vertical="center"/>
    </xf>
    <xf numFmtId="164" fontId="0" fillId="9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180" fontId="0" fillId="0" borderId="15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" fontId="23" fillId="0" borderId="0" xfId="0" applyNumberFormat="1" applyFont="1" applyAlignment="1">
      <alignment horizontal="left" vertical="center"/>
    </xf>
    <xf numFmtId="2" fontId="1" fillId="0" borderId="0" xfId="2" applyNumberFormat="1"/>
    <xf numFmtId="2" fontId="81" fillId="0" borderId="15" xfId="2" applyNumberFormat="1" applyFont="1" applyBorder="1" applyAlignment="1">
      <alignment horizontal="center" vertical="center"/>
    </xf>
    <xf numFmtId="2" fontId="13" fillId="0" borderId="15" xfId="2" applyNumberFormat="1" applyFont="1" applyBorder="1" applyAlignment="1">
      <alignment horizontal="center" vertical="center"/>
    </xf>
    <xf numFmtId="1" fontId="13" fillId="0" borderId="15" xfId="2" applyNumberFormat="1" applyFont="1" applyBorder="1" applyAlignment="1">
      <alignment horizontal="center" vertical="center"/>
    </xf>
    <xf numFmtId="1" fontId="13" fillId="0" borderId="15" xfId="2" quotePrefix="1" applyNumberFormat="1" applyFont="1" applyBorder="1" applyAlignment="1">
      <alignment horizontal="center" vertical="center"/>
    </xf>
    <xf numFmtId="2" fontId="13" fillId="2" borderId="0" xfId="2" applyNumberFormat="1" applyFont="1" applyFill="1" applyAlignment="1">
      <alignment horizontal="center" vertical="center"/>
    </xf>
    <xf numFmtId="2" fontId="1" fillId="2" borderId="0" xfId="2" applyNumberFormat="1" applyFill="1"/>
    <xf numFmtId="2" fontId="1" fillId="0" borderId="15" xfId="2" applyNumberFormat="1" applyBorder="1" applyAlignment="1">
      <alignment horizontal="center" vertical="center"/>
    </xf>
    <xf numFmtId="185" fontId="1" fillId="0" borderId="15" xfId="2" applyNumberFormat="1" applyBorder="1" applyAlignment="1">
      <alignment horizontal="center" vertical="center"/>
    </xf>
    <xf numFmtId="185" fontId="1" fillId="0" borderId="15" xfId="2" quotePrefix="1" applyNumberFormat="1" applyBorder="1" applyAlignment="1">
      <alignment horizontal="center" vertical="center"/>
    </xf>
    <xf numFmtId="185" fontId="1" fillId="0" borderId="15" xfId="2" applyNumberFormat="1" applyBorder="1" applyAlignment="1">
      <alignment horizontal="center"/>
    </xf>
    <xf numFmtId="2" fontId="1" fillId="2" borderId="0" xfId="2" applyNumberFormat="1" applyFill="1" applyAlignment="1">
      <alignment horizontal="center" vertical="center"/>
    </xf>
    <xf numFmtId="2" fontId="1" fillId="2" borderId="0" xfId="2" quotePrefix="1" applyNumberFormat="1" applyFill="1" applyAlignment="1">
      <alignment horizontal="center" vertical="center"/>
    </xf>
    <xf numFmtId="1" fontId="1" fillId="2" borderId="0" xfId="2" applyNumberFormat="1" applyFill="1"/>
    <xf numFmtId="2" fontId="1" fillId="2" borderId="47" xfId="2" applyNumberFormat="1" applyFill="1" applyBorder="1"/>
    <xf numFmtId="2" fontId="1" fillId="0" borderId="48" xfId="2" applyNumberFormat="1" applyBorder="1"/>
    <xf numFmtId="185" fontId="1" fillId="0" borderId="15" xfId="2" applyNumberFormat="1" applyBorder="1"/>
    <xf numFmtId="2" fontId="1" fillId="0" borderId="26" xfId="2" applyNumberFormat="1" applyBorder="1" applyAlignment="1">
      <alignment horizontal="center" vertical="center"/>
    </xf>
    <xf numFmtId="185" fontId="1" fillId="0" borderId="0" xfId="2" applyNumberFormat="1"/>
    <xf numFmtId="185" fontId="1" fillId="0" borderId="26" xfId="2" quotePrefix="1" applyNumberFormat="1" applyBorder="1" applyAlignment="1">
      <alignment horizontal="center" vertical="center"/>
    </xf>
    <xf numFmtId="185" fontId="1" fillId="0" borderId="26" xfId="2" applyNumberFormat="1" applyBorder="1" applyAlignment="1">
      <alignment horizontal="center"/>
    </xf>
    <xf numFmtId="2" fontId="16" fillId="2" borderId="47" xfId="2" applyNumberFormat="1" applyFont="1" applyFill="1" applyBorder="1" applyAlignment="1">
      <alignment horizontal="center" vertical="center" wrapText="1"/>
    </xf>
    <xf numFmtId="2" fontId="1" fillId="0" borderId="0" xfId="2" applyNumberFormat="1" applyAlignment="1">
      <alignment horizontal="center" vertical="center"/>
    </xf>
    <xf numFmtId="2" fontId="1" fillId="0" borderId="0" xfId="2" quotePrefix="1" applyNumberFormat="1" applyAlignment="1">
      <alignment horizontal="center" vertical="center"/>
    </xf>
    <xf numFmtId="2" fontId="16" fillId="0" borderId="0" xfId="2" applyNumberFormat="1" applyFont="1" applyAlignment="1">
      <alignment horizontal="center" vertical="center" wrapText="1"/>
    </xf>
    <xf numFmtId="2" fontId="1" fillId="0" borderId="0" xfId="2" applyNumberFormat="1" applyAlignment="1">
      <alignment horizontal="right" vertical="center"/>
    </xf>
    <xf numFmtId="185" fontId="17" fillId="0" borderId="15" xfId="2" applyNumberFormat="1" applyFont="1" applyBorder="1" applyAlignment="1">
      <alignment horizontal="center" vertical="center"/>
    </xf>
    <xf numFmtId="185" fontId="17" fillId="0" borderId="15" xfId="2" quotePrefix="1" applyNumberFormat="1" applyFont="1" applyBorder="1" applyAlignment="1">
      <alignment horizontal="center" vertical="center"/>
    </xf>
    <xf numFmtId="185" fontId="1" fillId="0" borderId="26" xfId="2" applyNumberFormat="1" applyBorder="1" applyAlignment="1">
      <alignment horizontal="center" vertical="center"/>
    </xf>
    <xf numFmtId="2" fontId="16" fillId="2" borderId="0" xfId="2" applyNumberFormat="1" applyFont="1" applyFill="1" applyAlignment="1">
      <alignment horizontal="center" vertical="center" wrapText="1"/>
    </xf>
    <xf numFmtId="2" fontId="17" fillId="0" borderId="15" xfId="2" quotePrefix="1" applyNumberFormat="1" applyFont="1" applyBorder="1" applyAlignment="1">
      <alignment horizontal="center" vertical="center"/>
    </xf>
    <xf numFmtId="2" fontId="1" fillId="0" borderId="15" xfId="2" applyNumberFormat="1" applyBorder="1"/>
    <xf numFmtId="2" fontId="1" fillId="0" borderId="15" xfId="2" quotePrefix="1" applyNumberFormat="1" applyBorder="1" applyAlignment="1">
      <alignment horizontal="center" vertical="center"/>
    </xf>
    <xf numFmtId="2" fontId="1" fillId="0" borderId="47" xfId="2" applyNumberFormat="1" applyBorder="1"/>
    <xf numFmtId="2" fontId="2" fillId="6" borderId="15" xfId="2" applyNumberFormat="1" applyFont="1" applyFill="1" applyBorder="1" applyAlignment="1">
      <alignment horizontal="center" vertical="center"/>
    </xf>
    <xf numFmtId="2" fontId="7" fillId="6" borderId="15" xfId="2" applyNumberFormat="1" applyFont="1" applyFill="1" applyBorder="1"/>
    <xf numFmtId="2" fontId="7" fillId="6" borderId="15" xfId="2" applyNumberFormat="1" applyFont="1" applyFill="1" applyBorder="1" applyAlignment="1">
      <alignment horizontal="center" vertical="center"/>
    </xf>
    <xf numFmtId="2" fontId="1" fillId="6" borderId="15" xfId="2" applyNumberFormat="1" applyFill="1" applyBorder="1" applyAlignment="1">
      <alignment horizontal="center" vertical="center"/>
    </xf>
    <xf numFmtId="2" fontId="8" fillId="6" borderId="15" xfId="2" applyNumberFormat="1" applyFont="1" applyFill="1" applyBorder="1" applyAlignment="1">
      <alignment horizontal="center" vertical="center"/>
    </xf>
    <xf numFmtId="2" fontId="1" fillId="6" borderId="15" xfId="2" applyNumberFormat="1" applyFill="1" applyBorder="1" applyAlignment="1">
      <alignment horizontal="center"/>
    </xf>
    <xf numFmtId="2" fontId="1" fillId="2" borderId="15" xfId="2" applyNumberFormat="1" applyFill="1" applyBorder="1" applyAlignment="1">
      <alignment horizontal="center" vertical="center"/>
    </xf>
    <xf numFmtId="2" fontId="6" fillId="2" borderId="15" xfId="2" applyNumberFormat="1" applyFont="1" applyFill="1" applyBorder="1" applyAlignment="1">
      <alignment horizontal="center" vertical="center"/>
    </xf>
    <xf numFmtId="2" fontId="1" fillId="2" borderId="15" xfId="2" applyNumberFormat="1" applyFill="1" applyBorder="1"/>
    <xf numFmtId="2" fontId="1" fillId="2" borderId="15" xfId="2" applyNumberFormat="1" applyFill="1" applyBorder="1" applyAlignment="1">
      <alignment horizontal="center"/>
    </xf>
    <xf numFmtId="2" fontId="13" fillId="6" borderId="15" xfId="2" applyNumberFormat="1" applyFont="1" applyFill="1" applyBorder="1" applyAlignment="1">
      <alignment horizontal="center" vertical="center"/>
    </xf>
    <xf numFmtId="2" fontId="81" fillId="6" borderId="15" xfId="2" applyNumberFormat="1" applyFont="1" applyFill="1" applyBorder="1" applyAlignment="1">
      <alignment horizontal="center" vertical="center"/>
    </xf>
    <xf numFmtId="2" fontId="1" fillId="2" borderId="15" xfId="2" applyNumberFormat="1" applyFill="1" applyBorder="1" applyAlignment="1">
      <alignment horizontal="center" vertical="center" wrapText="1"/>
    </xf>
    <xf numFmtId="2" fontId="1" fillId="2" borderId="0" xfId="2" applyNumberFormat="1" applyFill="1" applyAlignment="1">
      <alignment horizontal="center" vertical="center" wrapText="1"/>
    </xf>
    <xf numFmtId="2" fontId="83" fillId="2" borderId="15" xfId="2" applyNumberFormat="1" applyFont="1" applyFill="1" applyBorder="1" applyAlignment="1">
      <alignment horizontal="center" vertical="center"/>
    </xf>
    <xf numFmtId="2" fontId="85" fillId="2" borderId="0" xfId="2" applyNumberFormat="1" applyFont="1" applyFill="1" applyAlignment="1">
      <alignment horizontal="center" vertical="center" wrapText="1"/>
    </xf>
    <xf numFmtId="2" fontId="85" fillId="2" borderId="0" xfId="2" applyNumberFormat="1" applyFont="1" applyFill="1" applyAlignment="1">
      <alignment horizontal="center" vertical="center"/>
    </xf>
    <xf numFmtId="2" fontId="9" fillId="0" borderId="15" xfId="2" applyNumberFormat="1" applyFont="1" applyBorder="1" applyAlignment="1">
      <alignment vertical="center"/>
    </xf>
    <xf numFmtId="164" fontId="85" fillId="2" borderId="0" xfId="2" applyNumberFormat="1" applyFont="1" applyFill="1" applyAlignment="1">
      <alignment horizontal="center" vertical="center" wrapText="1"/>
    </xf>
    <xf numFmtId="2" fontId="13" fillId="2" borderId="15" xfId="2" applyNumberFormat="1" applyFont="1" applyFill="1" applyBorder="1" applyAlignment="1">
      <alignment horizontal="center" vertical="center"/>
    </xf>
    <xf numFmtId="2" fontId="6" fillId="2" borderId="15" xfId="2" applyNumberFormat="1" applyFont="1" applyFill="1" applyBorder="1"/>
    <xf numFmtId="2" fontId="9" fillId="0" borderId="15" xfId="2" applyNumberFormat="1" applyFont="1" applyBorder="1" applyAlignment="1">
      <alignment horizontal="center" vertical="center"/>
    </xf>
    <xf numFmtId="2" fontId="81" fillId="2" borderId="15" xfId="2" applyNumberFormat="1" applyFont="1" applyFill="1" applyBorder="1" applyAlignment="1">
      <alignment horizontal="center" vertical="center"/>
    </xf>
    <xf numFmtId="1" fontId="13" fillId="2" borderId="15" xfId="2" applyNumberFormat="1" applyFont="1" applyFill="1" applyBorder="1" applyAlignment="1">
      <alignment horizontal="center" vertical="center"/>
    </xf>
    <xf numFmtId="185" fontId="1" fillId="10" borderId="15" xfId="2" applyNumberFormat="1" applyFill="1" applyBorder="1" applyAlignment="1">
      <alignment horizontal="center" vertical="center" wrapText="1"/>
    </xf>
    <xf numFmtId="185" fontId="6" fillId="2" borderId="15" xfId="2" applyNumberFormat="1" applyFont="1" applyFill="1" applyBorder="1" applyAlignment="1">
      <alignment horizontal="center" vertical="center"/>
    </xf>
    <xf numFmtId="185" fontId="6" fillId="9" borderId="15" xfId="2" applyNumberFormat="1" applyFont="1" applyFill="1" applyBorder="1" applyAlignment="1">
      <alignment horizontal="center" vertical="center"/>
    </xf>
    <xf numFmtId="185" fontId="8" fillId="2" borderId="15" xfId="2" applyNumberFormat="1" applyFont="1" applyFill="1" applyBorder="1" applyAlignment="1">
      <alignment horizontal="center" vertical="center"/>
    </xf>
    <xf numFmtId="2" fontId="87" fillId="2" borderId="0" xfId="2" applyNumberFormat="1" applyFont="1" applyFill="1" applyAlignment="1">
      <alignment vertical="center"/>
    </xf>
    <xf numFmtId="185" fontId="1" fillId="2" borderId="15" xfId="2" applyNumberFormat="1" applyFill="1" applyBorder="1" applyAlignment="1">
      <alignment horizontal="center" vertical="center"/>
    </xf>
    <xf numFmtId="0" fontId="85" fillId="2" borderId="15" xfId="2" applyFont="1" applyFill="1" applyBorder="1" applyAlignment="1">
      <alignment horizontal="center" vertical="center"/>
    </xf>
    <xf numFmtId="2" fontId="1" fillId="2" borderId="0" xfId="2" applyNumberFormat="1" applyFill="1" applyAlignment="1">
      <alignment horizontal="right" vertical="center"/>
    </xf>
    <xf numFmtId="185" fontId="85" fillId="2" borderId="15" xfId="2" applyNumberFormat="1" applyFont="1" applyFill="1" applyBorder="1" applyAlignment="1">
      <alignment horizontal="center" vertical="center"/>
    </xf>
    <xf numFmtId="185" fontId="88" fillId="10" borderId="15" xfId="2" applyNumberFormat="1" applyFont="1" applyFill="1" applyBorder="1" applyAlignment="1">
      <alignment horizontal="center" vertical="center" wrapText="1"/>
    </xf>
    <xf numFmtId="185" fontId="89" fillId="2" borderId="15" xfId="2" applyNumberFormat="1" applyFont="1" applyFill="1" applyBorder="1" applyAlignment="1">
      <alignment horizontal="center" vertical="center"/>
    </xf>
    <xf numFmtId="185" fontId="89" fillId="9" borderId="15" xfId="2" applyNumberFormat="1" applyFont="1" applyFill="1" applyBorder="1" applyAlignment="1">
      <alignment horizontal="center" vertical="center"/>
    </xf>
    <xf numFmtId="2" fontId="85" fillId="9" borderId="15" xfId="2" applyNumberFormat="1" applyFont="1" applyFill="1" applyBorder="1" applyAlignment="1">
      <alignment horizontal="center" vertical="center"/>
    </xf>
    <xf numFmtId="2" fontId="90" fillId="2" borderId="0" xfId="2" applyNumberFormat="1" applyFont="1" applyFill="1" applyAlignment="1">
      <alignment horizontal="center" vertical="center" wrapText="1"/>
    </xf>
    <xf numFmtId="2" fontId="91" fillId="2" borderId="0" xfId="2" applyNumberFormat="1" applyFont="1" applyFill="1" applyAlignment="1">
      <alignment horizontal="center" vertical="center"/>
    </xf>
    <xf numFmtId="2" fontId="92" fillId="2" borderId="1" xfId="2" applyNumberFormat="1" applyFont="1" applyFill="1" applyBorder="1" applyAlignment="1">
      <alignment horizontal="center" vertical="center"/>
    </xf>
    <xf numFmtId="2" fontId="92" fillId="2" borderId="0" xfId="2" applyNumberFormat="1" applyFont="1" applyFill="1" applyAlignment="1">
      <alignment horizontal="center" vertical="center"/>
    </xf>
    <xf numFmtId="185" fontId="85" fillId="8" borderId="15" xfId="2" applyNumberFormat="1" applyFont="1" applyFill="1" applyBorder="1" applyAlignment="1">
      <alignment horizontal="center" vertical="center"/>
    </xf>
    <xf numFmtId="164" fontId="85" fillId="9" borderId="15" xfId="2" applyNumberFormat="1" applyFont="1" applyFill="1" applyBorder="1" applyAlignment="1">
      <alignment horizontal="center" vertical="center"/>
    </xf>
    <xf numFmtId="2" fontId="84" fillId="0" borderId="0" xfId="2" applyNumberFormat="1" applyFont="1"/>
    <xf numFmtId="2" fontId="85" fillId="0" borderId="0" xfId="2" applyNumberFormat="1" applyFont="1" applyAlignment="1">
      <alignment horizontal="center" vertical="center"/>
    </xf>
    <xf numFmtId="180" fontId="85" fillId="2" borderId="15" xfId="2" applyNumberFormat="1" applyFont="1" applyFill="1" applyBorder="1" applyAlignment="1">
      <alignment horizontal="center" vertical="center"/>
    </xf>
    <xf numFmtId="2" fontId="8" fillId="6" borderId="34" xfId="2" applyNumberFormat="1" applyFont="1" applyFill="1" applyBorder="1"/>
    <xf numFmtId="2" fontId="8" fillId="6" borderId="22" xfId="2" applyNumberFormat="1" applyFont="1" applyFill="1" applyBorder="1" applyAlignment="1">
      <alignment horizontal="center" vertical="center"/>
    </xf>
    <xf numFmtId="2" fontId="6" fillId="6" borderId="22" xfId="2" applyNumberFormat="1" applyFont="1" applyFill="1" applyBorder="1" applyAlignment="1">
      <alignment horizontal="center" vertical="center"/>
    </xf>
    <xf numFmtId="2" fontId="6" fillId="6" borderId="22" xfId="2" applyNumberFormat="1" applyFont="1" applyFill="1" applyBorder="1" applyAlignment="1">
      <alignment vertical="center"/>
    </xf>
    <xf numFmtId="1" fontId="6" fillId="6" borderId="15" xfId="2" applyNumberFormat="1" applyFont="1" applyFill="1" applyBorder="1" applyAlignment="1">
      <alignment vertical="center"/>
    </xf>
    <xf numFmtId="1" fontId="6" fillId="6" borderId="15" xfId="2" applyNumberFormat="1" applyFont="1" applyFill="1" applyBorder="1" applyAlignment="1">
      <alignment horizontal="center" vertical="center"/>
    </xf>
    <xf numFmtId="1" fontId="6" fillId="6" borderId="35" xfId="2" applyNumberFormat="1" applyFont="1" applyFill="1" applyBorder="1" applyAlignment="1">
      <alignment horizontal="center" vertical="center"/>
    </xf>
    <xf numFmtId="1" fontId="5" fillId="0" borderId="41" xfId="2" applyNumberFormat="1" applyFont="1" applyBorder="1" applyAlignment="1">
      <alignment horizontal="center" vertical="center"/>
    </xf>
    <xf numFmtId="2" fontId="5" fillId="0" borderId="18" xfId="2" applyNumberFormat="1" applyFont="1" applyBorder="1"/>
    <xf numFmtId="2" fontId="5" fillId="0" borderId="22" xfId="2" applyNumberFormat="1" applyFont="1" applyBorder="1"/>
    <xf numFmtId="2" fontId="5" fillId="0" borderId="52" xfId="2" applyNumberFormat="1" applyFont="1" applyBorder="1"/>
    <xf numFmtId="1" fontId="6" fillId="6" borderId="15" xfId="2" applyNumberFormat="1" applyFont="1" applyFill="1" applyBorder="1" applyAlignment="1">
      <alignment horizontal="right" vertical="center"/>
    </xf>
    <xf numFmtId="2" fontId="6" fillId="6" borderId="1" xfId="2" applyNumberFormat="1" applyFont="1" applyFill="1" applyBorder="1" applyAlignment="1">
      <alignment horizontal="center" vertical="center"/>
    </xf>
    <xf numFmtId="2" fontId="6" fillId="6" borderId="1" xfId="2" applyNumberFormat="1" applyFont="1" applyFill="1" applyBorder="1" applyAlignment="1">
      <alignment vertical="center"/>
    </xf>
    <xf numFmtId="2" fontId="5" fillId="0" borderId="0" xfId="2" applyNumberFormat="1" applyFont="1"/>
    <xf numFmtId="2" fontId="5" fillId="0" borderId="48" xfId="2" applyNumberFormat="1" applyFont="1" applyBorder="1"/>
    <xf numFmtId="2" fontId="5" fillId="10" borderId="49" xfId="2" applyNumberFormat="1" applyFont="1" applyFill="1" applyBorder="1"/>
    <xf numFmtId="2" fontId="5" fillId="10" borderId="50" xfId="2" applyNumberFormat="1" applyFont="1" applyFill="1" applyBorder="1"/>
    <xf numFmtId="2" fontId="5" fillId="0" borderId="50" xfId="2" applyNumberFormat="1" applyFont="1" applyBorder="1"/>
    <xf numFmtId="2" fontId="5" fillId="0" borderId="51" xfId="2" applyNumberFormat="1" applyFont="1" applyBorder="1"/>
    <xf numFmtId="0" fontId="21" fillId="11" borderId="0" xfId="0" applyFont="1" applyFill="1" applyAlignment="1" applyProtection="1">
      <alignment vertical="center"/>
      <protection locked="0"/>
    </xf>
    <xf numFmtId="0" fontId="23" fillId="11" borderId="0" xfId="0" applyFont="1" applyFill="1" applyAlignment="1" applyProtection="1">
      <alignment horizontal="left" vertical="center"/>
      <protection locked="0"/>
    </xf>
    <xf numFmtId="0" fontId="23" fillId="11" borderId="0" xfId="0" quotePrefix="1" applyFont="1" applyFill="1" applyAlignment="1" applyProtection="1">
      <alignment horizontal="left" vertical="center"/>
      <protection locked="0"/>
    </xf>
    <xf numFmtId="0" fontId="1" fillId="0" borderId="0" xfId="3" applyAlignment="1">
      <alignment vertical="center"/>
    </xf>
    <xf numFmtId="0" fontId="1" fillId="0" borderId="0" xfId="0" applyFont="1" applyAlignment="1">
      <alignment horizontal="center" vertical="center"/>
    </xf>
    <xf numFmtId="166" fontId="54" fillId="9" borderId="0" xfId="0" quotePrefix="1" applyNumberFormat="1" applyFont="1" applyFill="1" applyAlignment="1" applyProtection="1">
      <alignment vertical="center" wrapText="1"/>
      <protection locked="0"/>
    </xf>
    <xf numFmtId="2" fontId="23" fillId="11" borderId="15" xfId="0" applyNumberFormat="1" applyFont="1" applyFill="1" applyBorder="1" applyAlignment="1" applyProtection="1">
      <alignment horizontal="center" vertical="center"/>
      <protection locked="0"/>
    </xf>
    <xf numFmtId="2" fontId="23" fillId="0" borderId="15" xfId="0" applyNumberFormat="1" applyFont="1" applyBorder="1" applyAlignment="1" applyProtection="1">
      <alignment horizontal="center" vertical="center"/>
      <protection locked="0"/>
    </xf>
    <xf numFmtId="2" fontId="24" fillId="0" borderId="15" xfId="0" applyNumberFormat="1" applyFont="1" applyBorder="1" applyAlignment="1" applyProtection="1">
      <alignment horizontal="center" vertical="center"/>
      <protection locked="0"/>
    </xf>
    <xf numFmtId="2" fontId="40" fillId="0" borderId="15" xfId="0" applyNumberFormat="1" applyFont="1" applyBorder="1" applyAlignment="1">
      <alignment horizontal="center" vertical="center"/>
    </xf>
    <xf numFmtId="165" fontId="23" fillId="0" borderId="0" xfId="0" applyNumberFormat="1" applyFont="1" applyAlignment="1" applyProtection="1">
      <alignment horizontal="center" vertical="center"/>
      <protection locked="0"/>
    </xf>
    <xf numFmtId="0" fontId="23" fillId="0" borderId="0" xfId="0" quotePrefix="1" applyFont="1" applyAlignment="1" applyProtection="1">
      <alignment horizontal="center" vertical="center"/>
      <protection locked="0"/>
    </xf>
    <xf numFmtId="0" fontId="23" fillId="3" borderId="0" xfId="0" quotePrefix="1" applyFont="1" applyFill="1" applyAlignment="1" applyProtection="1">
      <alignment vertical="center"/>
      <protection locked="0"/>
    </xf>
    <xf numFmtId="0" fontId="23" fillId="3" borderId="0" xfId="0" applyFont="1" applyFill="1" applyAlignment="1" applyProtection="1">
      <alignment vertical="center"/>
      <protection locked="0"/>
    </xf>
    <xf numFmtId="0" fontId="43" fillId="0" borderId="0" xfId="0" applyFont="1" applyAlignment="1">
      <alignment vertical="center"/>
    </xf>
    <xf numFmtId="0" fontId="43" fillId="0" borderId="0" xfId="0" applyFont="1" applyAlignment="1">
      <alignment horizontal="left" vertical="center"/>
    </xf>
    <xf numFmtId="166" fontId="43" fillId="0" borderId="0" xfId="0" applyNumberFormat="1" applyFont="1" applyAlignment="1">
      <alignment horizontal="center" vertical="center"/>
    </xf>
    <xf numFmtId="166" fontId="46" fillId="2" borderId="12" xfId="0" applyNumberFormat="1" applyFont="1" applyFill="1" applyBorder="1" applyAlignment="1">
      <alignment horizontal="right" vertical="center" wrapText="1"/>
    </xf>
    <xf numFmtId="164" fontId="46" fillId="2" borderId="4" xfId="0" applyNumberFormat="1" applyFont="1" applyFill="1" applyBorder="1" applyAlignment="1">
      <alignment horizontal="right" vertical="center" wrapText="1"/>
    </xf>
    <xf numFmtId="166" fontId="46" fillId="2" borderId="8" xfId="0" applyNumberFormat="1" applyFont="1" applyFill="1" applyBorder="1" applyAlignment="1">
      <alignment horizontal="right" vertical="center" wrapText="1"/>
    </xf>
    <xf numFmtId="0" fontId="46" fillId="2" borderId="4" xfId="0" applyFont="1" applyFill="1" applyBorder="1" applyAlignment="1">
      <alignment horizontal="left" vertical="center"/>
    </xf>
    <xf numFmtId="0" fontId="46" fillId="2" borderId="8" xfId="0" applyFont="1" applyFill="1" applyBorder="1" applyAlignment="1">
      <alignment horizontal="left" vertical="center"/>
    </xf>
    <xf numFmtId="2" fontId="46" fillId="0" borderId="11" xfId="0" applyNumberFormat="1" applyFont="1" applyBorder="1" applyAlignment="1">
      <alignment horizontal="center" vertical="center" wrapText="1"/>
    </xf>
    <xf numFmtId="2" fontId="46" fillId="0" borderId="3" xfId="0" applyNumberFormat="1" applyFont="1" applyBorder="1" applyAlignment="1">
      <alignment horizontal="center" vertical="center" wrapText="1"/>
    </xf>
    <xf numFmtId="2" fontId="46" fillId="0" borderId="7" xfId="0" applyNumberFormat="1" applyFont="1" applyBorder="1" applyAlignment="1">
      <alignment horizontal="center" vertical="center" wrapText="1"/>
    </xf>
    <xf numFmtId="2" fontId="46" fillId="0" borderId="14" xfId="0" applyNumberFormat="1" applyFont="1" applyBorder="1" applyAlignment="1">
      <alignment horizontal="left" vertical="center" wrapText="1"/>
    </xf>
    <xf numFmtId="2" fontId="46" fillId="0" borderId="6" xfId="0" applyNumberFormat="1" applyFont="1" applyBorder="1" applyAlignment="1">
      <alignment horizontal="left" vertical="center" wrapText="1"/>
    </xf>
    <xf numFmtId="2" fontId="46" fillId="0" borderId="10" xfId="0" applyNumberFormat="1" applyFont="1" applyBorder="1" applyAlignment="1">
      <alignment horizontal="left" vertical="center" wrapText="1"/>
    </xf>
    <xf numFmtId="0" fontId="43" fillId="0" borderId="0" xfId="0" applyFont="1" applyAlignment="1" applyProtection="1">
      <alignment vertical="center"/>
      <protection locked="0"/>
    </xf>
    <xf numFmtId="0" fontId="2" fillId="0" borderId="0" xfId="5" applyFont="1" applyAlignment="1" applyProtection="1">
      <alignment horizontal="center" vertical="center" wrapText="1"/>
      <protection hidden="1"/>
    </xf>
    <xf numFmtId="0" fontId="3" fillId="0" borderId="1" xfId="0" applyFont="1" applyBorder="1" applyAlignment="1">
      <alignment horizontal="left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4" fillId="0" borderId="22" xfId="0" applyFont="1" applyBorder="1" applyAlignment="1">
      <alignment horizontal="center" vertical="center" wrapText="1"/>
    </xf>
    <xf numFmtId="0" fontId="40" fillId="2" borderId="15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166" fontId="54" fillId="0" borderId="0" xfId="0" quotePrefix="1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9" fontId="28" fillId="0" borderId="0" xfId="0" quotePrefix="1" applyNumberFormat="1" applyFont="1" applyAlignment="1">
      <alignment horizontal="center" vertical="center" wrapText="1"/>
    </xf>
    <xf numFmtId="0" fontId="24" fillId="0" borderId="1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9" fontId="23" fillId="0" borderId="25" xfId="0" quotePrefix="1" applyNumberFormat="1" applyFont="1" applyBorder="1" applyAlignment="1">
      <alignment horizontal="center" vertical="center" wrapText="1"/>
    </xf>
    <xf numFmtId="9" fontId="23" fillId="0" borderId="16" xfId="0" quotePrefix="1" applyNumberFormat="1" applyFont="1" applyBorder="1" applyAlignment="1">
      <alignment horizontal="center" vertical="center" wrapText="1"/>
    </xf>
    <xf numFmtId="9" fontId="23" fillId="0" borderId="26" xfId="0" quotePrefix="1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15" fontId="0" fillId="0" borderId="2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0" fontId="35" fillId="0" borderId="46" xfId="0" applyFont="1" applyBorder="1" applyAlignment="1">
      <alignment horizontal="center" vertical="center"/>
    </xf>
    <xf numFmtId="0" fontId="35" fillId="0" borderId="49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35" fillId="0" borderId="51" xfId="0" applyFont="1" applyBorder="1" applyAlignment="1">
      <alignment horizontal="center" vertical="center"/>
    </xf>
    <xf numFmtId="0" fontId="45" fillId="0" borderId="44" xfId="0" applyFont="1" applyBorder="1" applyAlignment="1">
      <alignment horizontal="center" vertical="center"/>
    </xf>
    <xf numFmtId="0" fontId="45" fillId="0" borderId="45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/>
    </xf>
    <xf numFmtId="0" fontId="45" fillId="0" borderId="49" xfId="0" applyFont="1" applyBorder="1" applyAlignment="1">
      <alignment horizontal="center" vertical="center"/>
    </xf>
    <xf numFmtId="0" fontId="45" fillId="0" borderId="50" xfId="0" applyFont="1" applyBorder="1" applyAlignment="1">
      <alignment horizontal="center" vertical="center"/>
    </xf>
    <xf numFmtId="0" fontId="45" fillId="0" borderId="5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15" xfId="0" applyFont="1" applyBorder="1" applyAlignment="1">
      <alignment vertical="center"/>
    </xf>
    <xf numFmtId="0" fontId="24" fillId="0" borderId="18" xfId="3" applyFont="1" applyBorder="1" applyAlignment="1">
      <alignment horizontal="center" vertical="center"/>
    </xf>
    <xf numFmtId="0" fontId="24" fillId="0" borderId="22" xfId="3" applyFont="1" applyBorder="1" applyAlignment="1">
      <alignment horizontal="center" vertical="center"/>
    </xf>
    <xf numFmtId="0" fontId="24" fillId="0" borderId="23" xfId="3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1" fontId="23" fillId="0" borderId="7" xfId="0" applyNumberFormat="1" applyFont="1" applyBorder="1" applyAlignment="1">
      <alignment horizontal="center" vertical="center" wrapText="1"/>
    </xf>
    <xf numFmtId="1" fontId="23" fillId="0" borderId="11" xfId="0" applyNumberFormat="1" applyFont="1" applyBorder="1" applyAlignment="1">
      <alignment horizontal="center" vertical="center" wrapText="1"/>
    </xf>
    <xf numFmtId="1" fontId="23" fillId="0" borderId="3" xfId="0" applyNumberFormat="1" applyFont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 wrapText="1"/>
    </xf>
    <xf numFmtId="2" fontId="2" fillId="0" borderId="22" xfId="0" applyNumberFormat="1" applyFont="1" applyBorder="1" applyAlignment="1">
      <alignment horizontal="center" vertical="center" wrapText="1"/>
    </xf>
    <xf numFmtId="2" fontId="2" fillId="0" borderId="23" xfId="0" applyNumberFormat="1" applyFont="1" applyBorder="1" applyAlignment="1">
      <alignment horizontal="center" vertical="center" wrapText="1"/>
    </xf>
    <xf numFmtId="2" fontId="23" fillId="0" borderId="18" xfId="0" applyNumberFormat="1" applyFont="1" applyBorder="1" applyAlignment="1">
      <alignment horizontal="center" vertical="center" wrapText="1"/>
    </xf>
    <xf numFmtId="2" fontId="23" fillId="0" borderId="22" xfId="0" applyNumberFormat="1" applyFont="1" applyBorder="1" applyAlignment="1">
      <alignment horizontal="center" vertical="center" wrapText="1"/>
    </xf>
    <xf numFmtId="2" fontId="23" fillId="0" borderId="23" xfId="0" applyNumberFormat="1" applyFont="1" applyBorder="1" applyAlignment="1">
      <alignment horizontal="center" vertical="center" wrapText="1"/>
    </xf>
    <xf numFmtId="9" fontId="2" fillId="0" borderId="15" xfId="0" quotePrefix="1" applyNumberFormat="1" applyFont="1" applyBorder="1" applyAlignment="1">
      <alignment horizontal="center" vertical="center" wrapText="1"/>
    </xf>
    <xf numFmtId="0" fontId="23" fillId="0" borderId="0" xfId="0" applyFont="1" applyAlignment="1" applyProtection="1">
      <alignment horizontal="left" vertical="center" wrapText="1"/>
      <protection locked="0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2" fillId="0" borderId="29" xfId="0" applyFont="1" applyBorder="1" applyAlignment="1" applyProtection="1">
      <alignment horizontal="center" vertical="center" wrapText="1"/>
      <protection locked="0"/>
    </xf>
    <xf numFmtId="0" fontId="2" fillId="0" borderId="56" xfId="0" applyFont="1" applyBorder="1" applyAlignment="1" applyProtection="1">
      <alignment horizontal="center" vertical="center" wrapText="1"/>
      <protection locked="0"/>
    </xf>
    <xf numFmtId="1" fontId="23" fillId="0" borderId="25" xfId="4" applyNumberFormat="1" applyFont="1" applyBorder="1" applyAlignment="1" applyProtection="1">
      <alignment horizontal="center" vertical="center" wrapText="1"/>
    </xf>
    <xf numFmtId="1" fontId="23" fillId="0" borderId="16" xfId="4" applyNumberFormat="1" applyFont="1" applyBorder="1" applyAlignment="1" applyProtection="1">
      <alignment horizontal="center" vertical="center" wrapText="1"/>
    </xf>
    <xf numFmtId="1" fontId="23" fillId="0" borderId="26" xfId="4" applyNumberFormat="1" applyFont="1" applyBorder="1" applyAlignment="1" applyProtection="1">
      <alignment horizontal="center" vertical="center" wrapText="1"/>
    </xf>
    <xf numFmtId="181" fontId="23" fillId="2" borderId="15" xfId="0" applyNumberFormat="1" applyFont="1" applyFill="1" applyBorder="1" applyAlignment="1">
      <alignment horizontal="center" vertical="center"/>
    </xf>
    <xf numFmtId="9" fontId="2" fillId="0" borderId="0" xfId="0" quotePrefix="1" applyNumberFormat="1" applyFont="1" applyAlignment="1">
      <alignment horizontal="center" vertical="center" wrapText="1"/>
    </xf>
    <xf numFmtId="167" fontId="23" fillId="0" borderId="0" xfId="0" applyNumberFormat="1" applyFont="1" applyAlignment="1">
      <alignment horizontal="center" vertical="center" wrapText="1"/>
    </xf>
    <xf numFmtId="1" fontId="41" fillId="2" borderId="20" xfId="0" applyNumberFormat="1" applyFont="1" applyFill="1" applyBorder="1" applyAlignment="1">
      <alignment horizontal="center" vertical="center"/>
    </xf>
    <xf numFmtId="0" fontId="41" fillId="2" borderId="27" xfId="0" applyFont="1" applyFill="1" applyBorder="1" applyAlignment="1">
      <alignment horizontal="center" vertical="center"/>
    </xf>
    <xf numFmtId="0" fontId="41" fillId="2" borderId="19" xfId="0" applyFont="1" applyFill="1" applyBorder="1" applyAlignment="1">
      <alignment horizontal="center" vertical="center"/>
    </xf>
    <xf numFmtId="0" fontId="41" fillId="2" borderId="24" xfId="0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173" fontId="23" fillId="0" borderId="0" xfId="0" applyNumberFormat="1" applyFont="1" applyAlignment="1">
      <alignment horizontal="left" vertical="center"/>
    </xf>
    <xf numFmtId="0" fontId="40" fillId="0" borderId="15" xfId="0" applyFont="1" applyBorder="1" applyAlignment="1">
      <alignment horizontal="center" vertical="center" wrapText="1"/>
    </xf>
    <xf numFmtId="1" fontId="23" fillId="9" borderId="25" xfId="0" applyNumberFormat="1" applyFont="1" applyFill="1" applyBorder="1" applyAlignment="1">
      <alignment horizontal="center" vertical="center"/>
    </xf>
    <xf numFmtId="1" fontId="23" fillId="9" borderId="16" xfId="0" applyNumberFormat="1" applyFont="1" applyFill="1" applyBorder="1" applyAlignment="1">
      <alignment horizontal="center" vertical="center"/>
    </xf>
    <xf numFmtId="1" fontId="23" fillId="9" borderId="26" xfId="0" applyNumberFormat="1" applyFont="1" applyFill="1" applyBorder="1" applyAlignment="1">
      <alignment horizontal="center" vertical="center"/>
    </xf>
    <xf numFmtId="0" fontId="23" fillId="0" borderId="17" xfId="0" applyFont="1" applyBorder="1" applyAlignment="1" applyProtection="1">
      <alignment horizontal="center" vertical="center"/>
      <protection locked="0"/>
    </xf>
    <xf numFmtId="0" fontId="43" fillId="11" borderId="8" xfId="0" applyFont="1" applyFill="1" applyBorder="1" applyAlignment="1">
      <alignment horizontal="left" vertical="center"/>
    </xf>
    <xf numFmtId="0" fontId="43" fillId="11" borderId="9" xfId="0" applyFont="1" applyFill="1" applyBorder="1" applyAlignment="1">
      <alignment horizontal="left" vertical="center"/>
    </xf>
    <xf numFmtId="0" fontId="24" fillId="0" borderId="18" xfId="0" applyFont="1" applyBorder="1" applyAlignment="1" applyProtection="1">
      <alignment horizontal="center" vertical="center" wrapText="1"/>
      <protection locked="0"/>
    </xf>
    <xf numFmtId="0" fontId="24" fillId="0" borderId="23" xfId="0" applyFont="1" applyBorder="1" applyAlignment="1" applyProtection="1">
      <alignment horizontal="center" vertical="center" wrapText="1"/>
      <protection locked="0"/>
    </xf>
    <xf numFmtId="0" fontId="24" fillId="0" borderId="22" xfId="0" applyFont="1" applyBorder="1" applyAlignment="1" applyProtection="1">
      <alignment horizontal="center" vertical="center" wrapText="1"/>
      <protection locked="0"/>
    </xf>
    <xf numFmtId="0" fontId="43" fillId="11" borderId="4" xfId="0" applyFont="1" applyFill="1" applyBorder="1" applyAlignment="1">
      <alignment horizontal="left" vertical="center"/>
    </xf>
    <xf numFmtId="0" fontId="43" fillId="11" borderId="5" xfId="0" applyFont="1" applyFill="1" applyBorder="1" applyAlignment="1">
      <alignment horizontal="left" vertical="center"/>
    </xf>
    <xf numFmtId="0" fontId="43" fillId="11" borderId="6" xfId="0" applyFont="1" applyFill="1" applyBorder="1" applyAlignment="1">
      <alignment horizontal="left" vertical="center"/>
    </xf>
    <xf numFmtId="171" fontId="23" fillId="0" borderId="0" xfId="0" applyNumberFormat="1" applyFont="1" applyAlignment="1">
      <alignment horizontal="center" vertical="center" wrapText="1"/>
    </xf>
    <xf numFmtId="0" fontId="61" fillId="0" borderId="0" xfId="0" applyFont="1" applyAlignment="1" applyProtection="1">
      <alignment horizontal="center" vertical="center"/>
      <protection locked="0"/>
    </xf>
    <xf numFmtId="0" fontId="23" fillId="9" borderId="0" xfId="0" applyFont="1" applyFill="1" applyAlignment="1">
      <alignment horizontal="center" vertical="center"/>
    </xf>
    <xf numFmtId="0" fontId="24" fillId="0" borderId="15" xfId="0" applyFont="1" applyBorder="1" applyAlignment="1" applyProtection="1">
      <alignment horizontal="center" vertical="center"/>
      <protection locked="0"/>
    </xf>
    <xf numFmtId="2" fontId="24" fillId="0" borderId="15" xfId="0" applyNumberFormat="1" applyFont="1" applyBorder="1" applyAlignment="1" applyProtection="1">
      <alignment horizontal="center" vertical="center"/>
      <protection locked="0"/>
    </xf>
    <xf numFmtId="0" fontId="24" fillId="0" borderId="15" xfId="0" applyFont="1" applyBorder="1" applyAlignment="1" applyProtection="1">
      <alignment horizontal="center" vertical="center" wrapText="1"/>
      <protection locked="0"/>
    </xf>
    <xf numFmtId="2" fontId="24" fillId="0" borderId="25" xfId="0" applyNumberFormat="1" applyFont="1" applyBorder="1" applyAlignment="1">
      <alignment horizontal="center" vertical="center"/>
    </xf>
    <xf numFmtId="2" fontId="24" fillId="0" borderId="26" xfId="0" applyNumberFormat="1" applyFont="1" applyBorder="1" applyAlignment="1">
      <alignment horizontal="center" vertical="center"/>
    </xf>
    <xf numFmtId="0" fontId="23" fillId="0" borderId="0" xfId="0" applyFont="1" applyAlignment="1" applyProtection="1">
      <alignment horizontal="center" vertical="center" wrapText="1"/>
      <protection locked="0"/>
    </xf>
    <xf numFmtId="0" fontId="24" fillId="0" borderId="15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75" fontId="23" fillId="0" borderId="25" xfId="0" quotePrefix="1" applyNumberFormat="1" applyFont="1" applyBorder="1" applyAlignment="1">
      <alignment horizontal="center" vertical="center" wrapText="1"/>
    </xf>
    <xf numFmtId="175" fontId="23" fillId="0" borderId="16" xfId="0" quotePrefix="1" applyNumberFormat="1" applyFont="1" applyBorder="1" applyAlignment="1">
      <alignment horizontal="center" vertical="center" wrapText="1"/>
    </xf>
    <xf numFmtId="175" fontId="23" fillId="0" borderId="26" xfId="0" quotePrefix="1" applyNumberFormat="1" applyFont="1" applyBorder="1" applyAlignment="1">
      <alignment horizontal="center" vertical="center" wrapText="1"/>
    </xf>
    <xf numFmtId="181" fontId="43" fillId="11" borderId="0" xfId="0" quotePrefix="1" applyNumberFormat="1" applyFont="1" applyFill="1" applyAlignment="1" applyProtection="1">
      <alignment horizontal="left" vertical="center"/>
      <protection locked="0"/>
    </xf>
    <xf numFmtId="1" fontId="43" fillId="9" borderId="8" xfId="0" applyNumberFormat="1" applyFont="1" applyFill="1" applyBorder="1" applyAlignment="1" applyProtection="1">
      <alignment horizontal="center" vertical="center" wrapText="1"/>
      <protection locked="0"/>
    </xf>
    <xf numFmtId="1" fontId="43" fillId="9" borderId="10" xfId="0" applyNumberFormat="1" applyFont="1" applyFill="1" applyBorder="1" applyAlignment="1" applyProtection="1">
      <alignment horizontal="center" vertical="center" wrapText="1"/>
      <protection locked="0"/>
    </xf>
    <xf numFmtId="164" fontId="43" fillId="11" borderId="0" xfId="0" applyNumberFormat="1" applyFont="1" applyFill="1" applyAlignment="1" applyProtection="1">
      <alignment horizontal="left" vertical="center"/>
      <protection locked="0"/>
    </xf>
    <xf numFmtId="1" fontId="43" fillId="9" borderId="4" xfId="0" applyNumberFormat="1" applyFont="1" applyFill="1" applyBorder="1" applyAlignment="1" applyProtection="1">
      <alignment horizontal="center" vertical="center" wrapText="1"/>
      <protection locked="0"/>
    </xf>
    <xf numFmtId="1" fontId="43" fillId="9" borderId="6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18" xfId="0" applyFont="1" applyBorder="1" applyAlignment="1" applyProtection="1">
      <alignment horizontal="center" vertical="center"/>
      <protection locked="0"/>
    </xf>
    <xf numFmtId="0" fontId="24" fillId="0" borderId="22" xfId="0" applyFont="1" applyBorder="1" applyAlignment="1" applyProtection="1">
      <alignment horizontal="center" vertical="center"/>
      <protection locked="0"/>
    </xf>
    <xf numFmtId="0" fontId="24" fillId="0" borderId="23" xfId="0" applyFont="1" applyBorder="1" applyAlignment="1" applyProtection="1">
      <alignment horizontal="center" vertical="center"/>
      <protection locked="0"/>
    </xf>
    <xf numFmtId="0" fontId="23" fillId="2" borderId="0" xfId="0" quotePrefix="1" applyFont="1" applyFill="1" applyAlignment="1" applyProtection="1">
      <alignment horizontal="left" vertical="center"/>
      <protection locked="0"/>
    </xf>
    <xf numFmtId="0" fontId="43" fillId="11" borderId="0" xfId="0" applyFont="1" applyFill="1" applyAlignment="1" applyProtection="1">
      <alignment horizontal="left" vertical="center"/>
      <protection locked="0"/>
    </xf>
    <xf numFmtId="0" fontId="24" fillId="0" borderId="11" xfId="0" applyFont="1" applyBorder="1" applyAlignment="1" applyProtection="1">
      <alignment horizontal="center" vertical="center" wrapText="1"/>
      <protection locked="0"/>
    </xf>
    <xf numFmtId="0" fontId="24" fillId="0" borderId="3" xfId="0" applyFont="1" applyBorder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center" vertical="center" wrapText="1"/>
      <protection locked="0"/>
    </xf>
    <xf numFmtId="0" fontId="24" fillId="0" borderId="20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 wrapText="1"/>
      <protection locked="0"/>
    </xf>
    <xf numFmtId="0" fontId="24" fillId="0" borderId="27" xfId="0" applyFont="1" applyBorder="1" applyAlignment="1" applyProtection="1">
      <alignment horizontal="center" vertical="center" wrapText="1"/>
      <protection locked="0"/>
    </xf>
    <xf numFmtId="0" fontId="24" fillId="0" borderId="19" xfId="0" applyFont="1" applyBorder="1" applyAlignment="1" applyProtection="1">
      <alignment horizontal="center" vertical="center" wrapText="1"/>
      <protection locked="0"/>
    </xf>
    <xf numFmtId="0" fontId="24" fillId="0" borderId="17" xfId="0" applyFont="1" applyBorder="1" applyAlignment="1" applyProtection="1">
      <alignment horizontal="center" vertical="center" wrapText="1"/>
      <protection locked="0"/>
    </xf>
    <xf numFmtId="0" fontId="24" fillId="0" borderId="24" xfId="0" applyFont="1" applyBorder="1" applyAlignment="1" applyProtection="1">
      <alignment horizontal="center" vertical="center" wrapText="1"/>
      <protection locked="0"/>
    </xf>
    <xf numFmtId="0" fontId="43" fillId="11" borderId="0" xfId="0" quotePrefix="1" applyFont="1" applyFill="1" applyAlignment="1" applyProtection="1">
      <alignment horizontal="left" vertical="center"/>
      <protection locked="0"/>
    </xf>
    <xf numFmtId="1" fontId="43" fillId="9" borderId="12" xfId="0" quotePrefix="1" applyNumberFormat="1" applyFont="1" applyFill="1" applyBorder="1" applyAlignment="1" applyProtection="1">
      <alignment horizontal="center" vertical="center" wrapText="1"/>
      <protection locked="0"/>
    </xf>
    <xf numFmtId="1" fontId="43" fillId="9" borderId="14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25" xfId="0" applyFont="1" applyBorder="1" applyAlignment="1" applyProtection="1">
      <alignment horizontal="center" vertical="center" wrapText="1"/>
      <protection locked="0"/>
    </xf>
    <xf numFmtId="0" fontId="24" fillId="0" borderId="26" xfId="0" applyFont="1" applyBorder="1" applyAlignment="1" applyProtection="1">
      <alignment horizontal="center" vertical="center" wrapText="1"/>
      <protection locked="0"/>
    </xf>
    <xf numFmtId="0" fontId="43" fillId="2" borderId="0" xfId="0" applyFont="1" applyFill="1" applyAlignment="1" applyProtection="1">
      <alignment horizontal="left" vertical="top" wrapText="1"/>
      <protection locked="0"/>
    </xf>
    <xf numFmtId="2" fontId="43" fillId="0" borderId="0" xfId="0" applyNumberFormat="1" applyFont="1" applyAlignment="1">
      <alignment horizontal="left" vertical="center"/>
    </xf>
    <xf numFmtId="0" fontId="18" fillId="0" borderId="0" xfId="0" applyFont="1" applyAlignment="1" applyProtection="1">
      <alignment horizontal="center" vertical="center"/>
      <protection locked="0"/>
    </xf>
    <xf numFmtId="173" fontId="23" fillId="0" borderId="0" xfId="0" quotePrefix="1" applyNumberFormat="1" applyFont="1" applyAlignment="1" applyProtection="1">
      <alignment horizontal="left" vertical="center"/>
      <protection locked="0"/>
    </xf>
    <xf numFmtId="173" fontId="23" fillId="11" borderId="0" xfId="0" quotePrefix="1" applyNumberFormat="1" applyFont="1" applyFill="1" applyAlignment="1" applyProtection="1">
      <alignment horizontal="left" vertical="center"/>
      <protection locked="0"/>
    </xf>
    <xf numFmtId="2" fontId="21" fillId="0" borderId="0" xfId="0" applyNumberFormat="1" applyFont="1" applyAlignment="1" applyProtection="1">
      <alignment horizontal="right" vertical="center"/>
      <protection locked="0"/>
    </xf>
    <xf numFmtId="0" fontId="43" fillId="0" borderId="0" xfId="0" applyFont="1" applyAlignment="1" applyProtection="1">
      <alignment horizontal="left" vertical="top" wrapText="1"/>
      <protection locked="0"/>
    </xf>
    <xf numFmtId="0" fontId="1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5" fillId="0" borderId="0" xfId="0" applyFont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" fontId="23" fillId="0" borderId="0" xfId="0" applyNumberFormat="1" applyFont="1" applyAlignment="1">
      <alignment horizontal="left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167" fontId="1" fillId="0" borderId="13" xfId="0" applyNumberFormat="1" applyFont="1" applyBorder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2" fontId="46" fillId="0" borderId="18" xfId="0" applyNumberFormat="1" applyFont="1" applyBorder="1" applyAlignment="1">
      <alignment horizontal="center" vertical="center" wrapText="1"/>
    </xf>
    <xf numFmtId="2" fontId="46" fillId="0" borderId="22" xfId="0" applyNumberFormat="1" applyFont="1" applyBorder="1" applyAlignment="1">
      <alignment horizontal="center" vertical="center" wrapText="1"/>
    </xf>
    <xf numFmtId="2" fontId="46" fillId="0" borderId="23" xfId="0" applyNumberFormat="1" applyFont="1" applyBorder="1" applyAlignment="1">
      <alignment horizontal="center" vertical="center" wrapText="1"/>
    </xf>
    <xf numFmtId="1" fontId="1" fillId="0" borderId="18" xfId="0" quotePrefix="1" applyNumberFormat="1" applyFont="1" applyBorder="1" applyAlignment="1">
      <alignment horizontal="center" vertical="center" wrapText="1"/>
    </xf>
    <xf numFmtId="1" fontId="38" fillId="0" borderId="22" xfId="0" quotePrefix="1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46" fillId="0" borderId="7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46" fillId="0" borderId="11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7" fillId="0" borderId="18" xfId="5" applyFont="1" applyBorder="1" applyAlignment="1">
      <alignment horizontal="left" vertical="top" wrapText="1"/>
    </xf>
    <xf numFmtId="0" fontId="7" fillId="0" borderId="22" xfId="5" applyFont="1" applyBorder="1" applyAlignment="1">
      <alignment horizontal="left" vertical="top" wrapText="1"/>
    </xf>
    <xf numFmtId="0" fontId="66" fillId="0" borderId="0" xfId="5" applyFont="1" applyAlignment="1" applyProtection="1">
      <alignment horizontal="center" vertical="center"/>
      <protection locked="0"/>
    </xf>
    <xf numFmtId="173" fontId="68" fillId="0" borderId="0" xfId="5" quotePrefix="1" applyNumberFormat="1" applyFont="1" applyAlignment="1" applyProtection="1">
      <alignment horizontal="center" vertical="center"/>
      <protection locked="0"/>
    </xf>
    <xf numFmtId="173" fontId="68" fillId="0" borderId="0" xfId="5" applyNumberFormat="1" applyFont="1" applyAlignment="1" applyProtection="1">
      <alignment horizontal="center" vertical="center"/>
      <protection locked="0"/>
    </xf>
    <xf numFmtId="0" fontId="7" fillId="0" borderId="0" xfId="5" applyFont="1" applyAlignment="1">
      <alignment horizontal="center"/>
    </xf>
    <xf numFmtId="0" fontId="58" fillId="0" borderId="0" xfId="5" applyFont="1" applyAlignment="1">
      <alignment horizontal="right" vertical="center"/>
    </xf>
    <xf numFmtId="0" fontId="65" fillId="0" borderId="0" xfId="5" applyFont="1" applyAlignment="1">
      <alignment horizontal="center"/>
    </xf>
    <xf numFmtId="0" fontId="68" fillId="0" borderId="0" xfId="5" quotePrefix="1" applyFont="1" applyAlignment="1" applyProtection="1">
      <alignment horizontal="left"/>
      <protection locked="0"/>
    </xf>
    <xf numFmtId="0" fontId="7" fillId="0" borderId="0" xfId="5" applyFont="1" applyAlignment="1">
      <alignment horizontal="left" vertical="center" wrapText="1"/>
    </xf>
    <xf numFmtId="0" fontId="69" fillId="0" borderId="0" xfId="5" quotePrefix="1" applyFont="1" applyAlignment="1" applyProtection="1">
      <alignment horizontal="left" vertical="center" wrapText="1"/>
      <protection locked="0"/>
    </xf>
    <xf numFmtId="11" fontId="68" fillId="0" borderId="0" xfId="5" quotePrefix="1" applyNumberFormat="1" applyFont="1" applyAlignment="1" applyProtection="1">
      <alignment horizontal="left"/>
      <protection locked="0"/>
    </xf>
    <xf numFmtId="0" fontId="68" fillId="0" borderId="0" xfId="5" applyFont="1" applyAlignment="1" applyProtection="1">
      <alignment horizontal="left"/>
      <protection locked="0"/>
    </xf>
    <xf numFmtId="0" fontId="7" fillId="0" borderId="0" xfId="5" applyFont="1" applyAlignment="1" applyProtection="1">
      <alignment horizontal="left" vertical="center" wrapText="1"/>
      <protection locked="0"/>
    </xf>
    <xf numFmtId="173" fontId="7" fillId="0" borderId="0" xfId="5" applyNumberFormat="1" applyFont="1" applyAlignment="1">
      <alignment horizontal="left" vertical="center" wrapText="1"/>
    </xf>
    <xf numFmtId="0" fontId="69" fillId="0" borderId="0" xfId="5" applyFont="1" applyAlignment="1" applyProtection="1">
      <alignment horizontal="left" vertical="center" wrapText="1"/>
      <protection locked="0"/>
    </xf>
    <xf numFmtId="0" fontId="7" fillId="0" borderId="0" xfId="5" applyFont="1" applyAlignment="1" applyProtection="1">
      <alignment horizontal="left" vertical="top" wrapText="1"/>
      <protection locked="0"/>
    </xf>
    <xf numFmtId="0" fontId="7" fillId="0" borderId="0" xfId="5" applyFont="1" applyAlignment="1" applyProtection="1">
      <alignment horizontal="justify" vertical="top" wrapText="1"/>
      <protection locked="0"/>
    </xf>
    <xf numFmtId="183" fontId="68" fillId="0" borderId="0" xfId="5" quotePrefix="1" applyNumberFormat="1" applyFont="1" applyAlignment="1" applyProtection="1">
      <alignment horizontal="left" vertical="center"/>
      <protection locked="0"/>
    </xf>
    <xf numFmtId="183" fontId="68" fillId="0" borderId="0" xfId="5" applyNumberFormat="1" applyFont="1" applyAlignment="1" applyProtection="1">
      <alignment horizontal="left" vertical="center"/>
      <protection locked="0"/>
    </xf>
    <xf numFmtId="0" fontId="7" fillId="0" borderId="0" xfId="5" applyFont="1" applyAlignment="1">
      <alignment horizontal="left" vertical="top" wrapText="1"/>
    </xf>
    <xf numFmtId="0" fontId="64" fillId="0" borderId="0" xfId="5" applyFont="1" applyAlignment="1">
      <alignment horizontal="center"/>
    </xf>
    <xf numFmtId="0" fontId="7" fillId="9" borderId="0" xfId="5" applyFont="1" applyFill="1" applyAlignment="1">
      <alignment horizontal="justify" vertical="center" wrapText="1"/>
    </xf>
    <xf numFmtId="0" fontId="8" fillId="0" borderId="0" xfId="5" applyFont="1" applyAlignment="1">
      <alignment horizontal="left" vertical="center" wrapText="1"/>
    </xf>
    <xf numFmtId="173" fontId="7" fillId="0" borderId="0" xfId="5" applyNumberFormat="1" applyFont="1" applyAlignment="1">
      <alignment horizontal="left" vertical="top" wrapText="1"/>
    </xf>
    <xf numFmtId="2" fontId="6" fillId="2" borderId="57" xfId="0" applyNumberFormat="1" applyFont="1" applyFill="1" applyBorder="1" applyAlignment="1">
      <alignment horizontal="center" vertical="center"/>
    </xf>
    <xf numFmtId="2" fontId="6" fillId="2" borderId="41" xfId="0" applyNumberFormat="1" applyFont="1" applyFill="1" applyBorder="1" applyAlignment="1">
      <alignment horizontal="center" vertical="center"/>
    </xf>
    <xf numFmtId="2" fontId="6" fillId="2" borderId="54" xfId="0" applyNumberFormat="1" applyFont="1" applyFill="1" applyBorder="1" applyAlignment="1">
      <alignment horizontal="center" vertical="center"/>
    </xf>
    <xf numFmtId="2" fontId="6" fillId="2" borderId="57" xfId="2" applyNumberFormat="1" applyFont="1" applyFill="1" applyBorder="1" applyAlignment="1">
      <alignment horizontal="center" vertical="center"/>
    </xf>
    <xf numFmtId="2" fontId="6" fillId="2" borderId="58" xfId="2" applyNumberFormat="1" applyFont="1" applyFill="1" applyBorder="1" applyAlignment="1">
      <alignment horizontal="center" vertical="center"/>
    </xf>
    <xf numFmtId="2" fontId="6" fillId="2" borderId="59" xfId="2" applyNumberFormat="1" applyFont="1" applyFill="1" applyBorder="1" applyAlignment="1">
      <alignment horizontal="center" vertical="center"/>
    </xf>
    <xf numFmtId="1" fontId="6" fillId="7" borderId="15" xfId="0" applyNumberFormat="1" applyFont="1" applyFill="1" applyBorder="1" applyAlignment="1">
      <alignment horizontal="center" vertical="center"/>
    </xf>
    <xf numFmtId="2" fontId="6" fillId="10" borderId="15" xfId="0" applyNumberFormat="1" applyFont="1" applyFill="1" applyBorder="1" applyAlignment="1">
      <alignment horizontal="center" vertical="center"/>
    </xf>
    <xf numFmtId="2" fontId="14" fillId="2" borderId="58" xfId="2" applyNumberFormat="1" applyFont="1" applyFill="1" applyBorder="1" applyAlignment="1">
      <alignment horizontal="left" vertical="center" wrapText="1"/>
    </xf>
    <xf numFmtId="2" fontId="14" fillId="2" borderId="59" xfId="2" applyNumberFormat="1" applyFont="1" applyFill="1" applyBorder="1" applyAlignment="1">
      <alignment horizontal="left" vertical="center" wrapText="1"/>
    </xf>
    <xf numFmtId="2" fontId="78" fillId="2" borderId="15" xfId="0" applyNumberFormat="1" applyFont="1" applyFill="1" applyBorder="1" applyAlignment="1">
      <alignment horizontal="center" vertical="center"/>
    </xf>
    <xf numFmtId="2" fontId="14" fillId="2" borderId="41" xfId="0" applyNumberFormat="1" applyFont="1" applyFill="1" applyBorder="1" applyAlignment="1">
      <alignment horizontal="center" vertical="center" wrapText="1"/>
    </xf>
    <xf numFmtId="2" fontId="14" fillId="2" borderId="15" xfId="0" applyNumberFormat="1" applyFont="1" applyFill="1" applyBorder="1" applyAlignment="1">
      <alignment horizontal="center" vertical="center" wrapText="1"/>
    </xf>
    <xf numFmtId="2" fontId="6" fillId="2" borderId="35" xfId="2" applyNumberFormat="1" applyFont="1" applyFill="1" applyBorder="1" applyAlignment="1">
      <alignment horizontal="center" vertical="center" wrapText="1"/>
    </xf>
    <xf numFmtId="2" fontId="14" fillId="2" borderId="15" xfId="2" applyNumberFormat="1" applyFont="1" applyFill="1" applyBorder="1" applyAlignment="1">
      <alignment horizontal="center" vertical="center" wrapText="1"/>
    </xf>
    <xf numFmtId="2" fontId="6" fillId="7" borderId="15" xfId="0" applyNumberFormat="1" applyFont="1" applyFill="1" applyBorder="1" applyAlignment="1">
      <alignment horizontal="center" vertical="center"/>
    </xf>
    <xf numFmtId="2" fontId="6" fillId="7" borderId="58" xfId="0" applyNumberFormat="1" applyFont="1" applyFill="1" applyBorder="1" applyAlignment="1">
      <alignment horizontal="center" vertical="center"/>
    </xf>
    <xf numFmtId="2" fontId="6" fillId="7" borderId="37" xfId="0" applyNumberFormat="1" applyFont="1" applyFill="1" applyBorder="1" applyAlignment="1">
      <alignment horizontal="center" vertical="center"/>
    </xf>
    <xf numFmtId="2" fontId="6" fillId="7" borderId="30" xfId="0" applyNumberFormat="1" applyFont="1" applyFill="1" applyBorder="1" applyAlignment="1">
      <alignment horizontal="center" vertical="center"/>
    </xf>
    <xf numFmtId="2" fontId="6" fillId="7" borderId="16" xfId="0" applyNumberFormat="1" applyFont="1" applyFill="1" applyBorder="1" applyAlignment="1">
      <alignment horizontal="center" vertical="center"/>
    </xf>
    <xf numFmtId="2" fontId="6" fillId="7" borderId="62" xfId="0" applyNumberFormat="1" applyFont="1" applyFill="1" applyBorder="1" applyAlignment="1">
      <alignment horizontal="center" vertical="center"/>
    </xf>
    <xf numFmtId="2" fontId="14" fillId="9" borderId="57" xfId="0" applyNumberFormat="1" applyFont="1" applyFill="1" applyBorder="1" applyAlignment="1">
      <alignment horizontal="center" vertical="center"/>
    </xf>
    <xf numFmtId="2" fontId="14" fillId="9" borderId="59" xfId="0" applyNumberFormat="1" applyFont="1" applyFill="1" applyBorder="1" applyAlignment="1">
      <alignment horizontal="center" vertical="center"/>
    </xf>
    <xf numFmtId="2" fontId="6" fillId="9" borderId="41" xfId="0" applyNumberFormat="1" applyFont="1" applyFill="1" applyBorder="1" applyAlignment="1">
      <alignment horizontal="center" vertical="center"/>
    </xf>
    <xf numFmtId="2" fontId="6" fillId="9" borderId="35" xfId="0" applyNumberFormat="1" applyFont="1" applyFill="1" applyBorder="1" applyAlignment="1">
      <alignment horizontal="center" vertical="center"/>
    </xf>
    <xf numFmtId="2" fontId="78" fillId="7" borderId="15" xfId="0" applyNumberFormat="1" applyFont="1" applyFill="1" applyBorder="1" applyAlignment="1">
      <alignment horizontal="center" vertical="center"/>
    </xf>
    <xf numFmtId="2" fontId="78" fillId="7" borderId="35" xfId="0" applyNumberFormat="1" applyFont="1" applyFill="1" applyBorder="1" applyAlignment="1">
      <alignment horizontal="center" vertical="center"/>
    </xf>
    <xf numFmtId="2" fontId="78" fillId="7" borderId="20" xfId="0" applyNumberFormat="1" applyFont="1" applyFill="1" applyBorder="1" applyAlignment="1">
      <alignment horizontal="center" vertical="center"/>
    </xf>
    <xf numFmtId="2" fontId="78" fillId="7" borderId="1" xfId="0" applyNumberFormat="1" applyFont="1" applyFill="1" applyBorder="1" applyAlignment="1">
      <alignment horizontal="center" vertical="center"/>
    </xf>
    <xf numFmtId="2" fontId="78" fillId="7" borderId="27" xfId="0" applyNumberFormat="1" applyFont="1" applyFill="1" applyBorder="1" applyAlignment="1">
      <alignment horizontal="center" vertical="center"/>
    </xf>
    <xf numFmtId="2" fontId="6" fillId="7" borderId="25" xfId="0" applyNumberFormat="1" applyFont="1" applyFill="1" applyBorder="1" applyAlignment="1">
      <alignment horizontal="center" vertical="center"/>
    </xf>
    <xf numFmtId="2" fontId="3" fillId="7" borderId="57" xfId="0" applyNumberFormat="1" applyFont="1" applyFill="1" applyBorder="1" applyAlignment="1">
      <alignment horizontal="center" vertical="center"/>
    </xf>
    <xf numFmtId="2" fontId="3" fillId="7" borderId="59" xfId="0" applyNumberFormat="1" applyFont="1" applyFill="1" applyBorder="1" applyAlignment="1">
      <alignment horizontal="center" vertical="center"/>
    </xf>
    <xf numFmtId="2" fontId="17" fillId="7" borderId="15" xfId="0" applyNumberFormat="1" applyFont="1" applyFill="1" applyBorder="1" applyAlignment="1">
      <alignment horizontal="center" vertical="center"/>
    </xf>
    <xf numFmtId="2" fontId="77" fillId="7" borderId="15" xfId="2" applyNumberFormat="1" applyFont="1" applyFill="1" applyBorder="1" applyAlignment="1">
      <alignment horizontal="center" vertical="center"/>
    </xf>
    <xf numFmtId="2" fontId="62" fillId="7" borderId="15" xfId="2" applyNumberFormat="1" applyFont="1" applyFill="1" applyBorder="1" applyAlignment="1">
      <alignment horizontal="center" vertical="center"/>
    </xf>
    <xf numFmtId="1" fontId="14" fillId="7" borderId="15" xfId="2" applyNumberFormat="1" applyFont="1" applyFill="1" applyBorder="1" applyAlignment="1">
      <alignment horizontal="center" vertical="center"/>
    </xf>
    <xf numFmtId="2" fontId="14" fillId="7" borderId="15" xfId="2" applyNumberFormat="1" applyFont="1" applyFill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2" fontId="76" fillId="8" borderId="47" xfId="0" applyNumberFormat="1" applyFont="1" applyFill="1" applyBorder="1" applyAlignment="1">
      <alignment horizontal="center" vertical="center"/>
    </xf>
    <xf numFmtId="2" fontId="76" fillId="8" borderId="0" xfId="0" applyNumberFormat="1" applyFont="1" applyFill="1" applyAlignment="1">
      <alignment horizontal="center" vertical="center"/>
    </xf>
    <xf numFmtId="1" fontId="1" fillId="0" borderId="44" xfId="0" applyNumberFormat="1" applyFont="1" applyBorder="1" applyAlignment="1">
      <alignment horizontal="center" vertical="center"/>
    </xf>
    <xf numFmtId="1" fontId="1" fillId="0" borderId="47" xfId="0" applyNumberFormat="1" applyFont="1" applyBorder="1" applyAlignment="1">
      <alignment horizontal="center" vertical="center"/>
    </xf>
    <xf numFmtId="1" fontId="1" fillId="0" borderId="49" xfId="0" applyNumberFormat="1" applyFont="1" applyBorder="1" applyAlignment="1">
      <alignment horizontal="center" vertical="center"/>
    </xf>
    <xf numFmtId="2" fontId="6" fillId="8" borderId="0" xfId="0" applyNumberFormat="1" applyFont="1" applyFill="1" applyAlignment="1">
      <alignment horizontal="center"/>
    </xf>
    <xf numFmtId="2" fontId="6" fillId="7" borderId="15" xfId="0" applyNumberFormat="1" applyFont="1" applyFill="1" applyBorder="1" applyAlignment="1">
      <alignment horizontal="center" vertical="center" wrapText="1"/>
    </xf>
    <xf numFmtId="2" fontId="6" fillId="7" borderId="58" xfId="0" applyNumberFormat="1" applyFont="1" applyFill="1" applyBorder="1" applyAlignment="1">
      <alignment horizontal="center" vertical="center" wrapText="1"/>
    </xf>
    <xf numFmtId="2" fontId="14" fillId="7" borderId="58" xfId="2" applyNumberFormat="1" applyFont="1" applyFill="1" applyBorder="1" applyAlignment="1">
      <alignment horizontal="center" vertical="center"/>
    </xf>
    <xf numFmtId="2" fontId="14" fillId="7" borderId="59" xfId="2" applyNumberFormat="1" applyFont="1" applyFill="1" applyBorder="1" applyAlignment="1">
      <alignment horizontal="center" vertical="center"/>
    </xf>
    <xf numFmtId="2" fontId="17" fillId="7" borderId="18" xfId="0" applyNumberFormat="1" applyFont="1" applyFill="1" applyBorder="1" applyAlignment="1">
      <alignment horizontal="center" vertical="center"/>
    </xf>
    <xf numFmtId="2" fontId="17" fillId="7" borderId="22" xfId="0" applyNumberFormat="1" applyFont="1" applyFill="1" applyBorder="1" applyAlignment="1">
      <alignment horizontal="center" vertical="center"/>
    </xf>
    <xf numFmtId="2" fontId="17" fillId="7" borderId="23" xfId="0" applyNumberFormat="1" applyFont="1" applyFill="1" applyBorder="1" applyAlignment="1">
      <alignment horizontal="center" vertical="center"/>
    </xf>
    <xf numFmtId="0" fontId="16" fillId="13" borderId="15" xfId="0" applyFont="1" applyFill="1" applyBorder="1" applyAlignment="1" applyProtection="1">
      <alignment horizontal="center" vertical="center"/>
      <protection locked="0"/>
    </xf>
    <xf numFmtId="0" fontId="35" fillId="0" borderId="15" xfId="0" applyFont="1" applyBorder="1" applyAlignment="1" applyProtection="1">
      <alignment horizontal="center" vertical="center" wrapText="1"/>
      <protection locked="0"/>
    </xf>
    <xf numFmtId="0" fontId="60" fillId="0" borderId="0" xfId="0" applyFont="1" applyAlignment="1">
      <alignment horizontal="center" vertical="center"/>
    </xf>
    <xf numFmtId="0" fontId="85" fillId="2" borderId="15" xfId="2" applyFont="1" applyFill="1" applyBorder="1" applyAlignment="1">
      <alignment horizontal="center" vertical="center" wrapText="1"/>
    </xf>
    <xf numFmtId="2" fontId="13" fillId="2" borderId="15" xfId="2" applyNumberFormat="1" applyFont="1" applyFill="1" applyBorder="1" applyAlignment="1">
      <alignment horizontal="center" vertical="center" wrapText="1"/>
    </xf>
    <xf numFmtId="0" fontId="85" fillId="2" borderId="15" xfId="2" applyFont="1" applyFill="1" applyBorder="1" applyAlignment="1">
      <alignment horizontal="center" vertical="center"/>
    </xf>
    <xf numFmtId="2" fontId="5" fillId="0" borderId="31" xfId="2" applyNumberFormat="1" applyFont="1" applyBorder="1" applyAlignment="1">
      <alignment horizontal="center"/>
    </xf>
    <xf numFmtId="2" fontId="5" fillId="0" borderId="39" xfId="2" applyNumberFormat="1" applyFont="1" applyBorder="1" applyAlignment="1">
      <alignment horizontal="center"/>
    </xf>
    <xf numFmtId="2" fontId="5" fillId="0" borderId="40" xfId="2" applyNumberFormat="1" applyFont="1" applyBorder="1" applyAlignment="1">
      <alignment horizontal="center"/>
    </xf>
    <xf numFmtId="1" fontId="2" fillId="6" borderId="34" xfId="2" applyNumberFormat="1" applyFont="1" applyFill="1" applyBorder="1" applyAlignment="1">
      <alignment horizontal="center"/>
    </xf>
    <xf numFmtId="1" fontId="2" fillId="6" borderId="22" xfId="2" applyNumberFormat="1" applyFont="1" applyFill="1" applyBorder="1" applyAlignment="1">
      <alignment horizontal="center"/>
    </xf>
    <xf numFmtId="1" fontId="2" fillId="6" borderId="23" xfId="2" applyNumberFormat="1" applyFont="1" applyFill="1" applyBorder="1" applyAlignment="1">
      <alignment horizontal="center"/>
    </xf>
    <xf numFmtId="2" fontId="2" fillId="2" borderId="15" xfId="2" applyNumberFormat="1" applyFont="1" applyFill="1" applyBorder="1" applyAlignment="1">
      <alignment horizontal="center" vertical="center" wrapText="1"/>
    </xf>
    <xf numFmtId="2" fontId="81" fillId="2" borderId="15" xfId="2" applyNumberFormat="1" applyFont="1" applyFill="1" applyBorder="1" applyAlignment="1">
      <alignment horizontal="center" vertical="center" wrapText="1"/>
    </xf>
    <xf numFmtId="2" fontId="13" fillId="2" borderId="15" xfId="2" applyNumberFormat="1" applyFont="1" applyFill="1" applyBorder="1" applyAlignment="1">
      <alignment horizontal="center" vertical="center"/>
    </xf>
    <xf numFmtId="2" fontId="86" fillId="2" borderId="15" xfId="2" applyNumberFormat="1" applyFont="1" applyFill="1" applyBorder="1" applyAlignment="1">
      <alignment horizontal="center" vertical="center"/>
    </xf>
    <xf numFmtId="2" fontId="1" fillId="6" borderId="15" xfId="2" applyNumberFormat="1" applyFill="1" applyBorder="1" applyAlignment="1">
      <alignment horizontal="center" vertical="center" wrapText="1"/>
    </xf>
    <xf numFmtId="2" fontId="83" fillId="2" borderId="15" xfId="2" applyNumberFormat="1" applyFont="1" applyFill="1" applyBorder="1" applyAlignment="1">
      <alignment horizontal="center" vertical="center" wrapText="1"/>
    </xf>
    <xf numFmtId="2" fontId="84" fillId="2" borderId="15" xfId="2" applyNumberFormat="1" applyFont="1" applyFill="1" applyBorder="1" applyAlignment="1">
      <alignment horizontal="center" vertical="center"/>
    </xf>
    <xf numFmtId="2" fontId="12" fillId="2" borderId="15" xfId="2" applyNumberFormat="1" applyFont="1" applyFill="1" applyBorder="1" applyAlignment="1">
      <alignment horizontal="center" vertical="center" wrapText="1"/>
    </xf>
    <xf numFmtId="2" fontId="2" fillId="6" borderId="15" xfId="2" applyNumberFormat="1" applyFont="1" applyFill="1" applyBorder="1" applyAlignment="1">
      <alignment horizontal="center" vertical="center"/>
    </xf>
    <xf numFmtId="2" fontId="15" fillId="6" borderId="15" xfId="2" applyNumberFormat="1" applyFont="1" applyFill="1" applyBorder="1" applyAlignment="1">
      <alignment horizontal="center" vertical="center" wrapText="1"/>
    </xf>
    <xf numFmtId="2" fontId="7" fillId="6" borderId="15" xfId="2" applyNumberFormat="1" applyFont="1" applyFill="1" applyBorder="1" applyAlignment="1">
      <alignment horizontal="center"/>
    </xf>
    <xf numFmtId="2" fontId="7" fillId="6" borderId="15" xfId="2" applyNumberFormat="1" applyFont="1" applyFill="1" applyBorder="1" applyAlignment="1">
      <alignment horizontal="center" vertical="center"/>
    </xf>
    <xf numFmtId="2" fontId="1" fillId="6" borderId="15" xfId="2" applyNumberFormat="1" applyFill="1" applyBorder="1" applyAlignment="1">
      <alignment horizontal="center" vertical="center"/>
    </xf>
    <xf numFmtId="2" fontId="13" fillId="0" borderId="15" xfId="2" applyNumberFormat="1" applyFont="1" applyBorder="1" applyAlignment="1">
      <alignment horizontal="center" vertical="center"/>
    </xf>
    <xf numFmtId="2" fontId="16" fillId="8" borderId="47" xfId="2" applyNumberFormat="1" applyFont="1" applyFill="1" applyBorder="1" applyAlignment="1">
      <alignment horizontal="center" vertical="center" wrapText="1"/>
    </xf>
    <xf numFmtId="2" fontId="16" fillId="8" borderId="0" xfId="2" applyNumberFormat="1" applyFont="1" applyFill="1" applyAlignment="1">
      <alignment horizontal="center" vertical="center" wrapText="1"/>
    </xf>
    <xf numFmtId="2" fontId="7" fillId="6" borderId="18" xfId="2" applyNumberFormat="1" applyFont="1" applyFill="1" applyBorder="1" applyAlignment="1">
      <alignment horizontal="center"/>
    </xf>
    <xf numFmtId="2" fontId="7" fillId="6" borderId="22" xfId="2" applyNumberFormat="1" applyFont="1" applyFill="1" applyBorder="1" applyAlignment="1">
      <alignment horizontal="center"/>
    </xf>
    <xf numFmtId="2" fontId="7" fillId="6" borderId="23" xfId="2" applyNumberFormat="1" applyFont="1" applyFill="1" applyBorder="1" applyAlignment="1">
      <alignment horizontal="center"/>
    </xf>
    <xf numFmtId="2" fontId="2" fillId="2" borderId="15" xfId="2" applyNumberFormat="1" applyFont="1" applyFill="1" applyBorder="1" applyAlignment="1">
      <alignment horizontal="center" vertical="center"/>
    </xf>
    <xf numFmtId="2" fontId="13" fillId="0" borderId="15" xfId="2" applyNumberFormat="1" applyFont="1" applyBorder="1" applyAlignment="1">
      <alignment horizontal="center" vertical="center" wrapText="1"/>
    </xf>
    <xf numFmtId="2" fontId="80" fillId="2" borderId="15" xfId="2" applyNumberFormat="1" applyFont="1" applyFill="1" applyBorder="1" applyAlignment="1">
      <alignment horizontal="center" vertical="center" wrapText="1"/>
    </xf>
    <xf numFmtId="2" fontId="2" fillId="0" borderId="15" xfId="2" applyNumberFormat="1" applyFont="1" applyBorder="1" applyAlignment="1">
      <alignment horizontal="center" vertical="center"/>
    </xf>
    <xf numFmtId="2" fontId="80" fillId="0" borderId="15" xfId="2" applyNumberFormat="1" applyFont="1" applyBorder="1" applyAlignment="1">
      <alignment horizontal="center" vertical="center" wrapText="1"/>
    </xf>
    <xf numFmtId="2" fontId="15" fillId="0" borderId="15" xfId="2" applyNumberFormat="1" applyFont="1" applyBorder="1" applyAlignment="1">
      <alignment horizontal="center" vertical="center"/>
    </xf>
    <xf numFmtId="2" fontId="81" fillId="0" borderId="15" xfId="2" applyNumberFormat="1" applyFont="1" applyBorder="1" applyAlignment="1">
      <alignment horizontal="center"/>
    </xf>
    <xf numFmtId="2" fontId="81" fillId="0" borderId="15" xfId="2" applyNumberFormat="1" applyFont="1" applyBorder="1" applyAlignment="1">
      <alignment horizontal="center" vertical="center"/>
    </xf>
    <xf numFmtId="185" fontId="80" fillId="0" borderId="15" xfId="2" applyNumberFormat="1" applyFont="1" applyBorder="1" applyAlignment="1">
      <alignment horizontal="center" vertical="center" wrapText="1"/>
    </xf>
    <xf numFmtId="2" fontId="18" fillId="8" borderId="42" xfId="2" applyNumberFormat="1" applyFont="1" applyFill="1" applyBorder="1" applyAlignment="1">
      <alignment horizontal="center" vertical="center"/>
    </xf>
    <xf numFmtId="2" fontId="18" fillId="8" borderId="17" xfId="2" applyNumberFormat="1" applyFont="1" applyFill="1" applyBorder="1" applyAlignment="1">
      <alignment horizontal="center" vertical="center"/>
    </xf>
    <xf numFmtId="2" fontId="79" fillId="18" borderId="15" xfId="0" applyNumberFormat="1" applyFont="1" applyFill="1" applyBorder="1" applyAlignment="1">
      <alignment horizontal="center" vertical="center"/>
    </xf>
    <xf numFmtId="2" fontId="77" fillId="18" borderId="15" xfId="2" applyNumberFormat="1" applyFont="1" applyFill="1" applyBorder="1" applyAlignment="1">
      <alignment horizontal="center" vertical="center"/>
    </xf>
    <xf numFmtId="2" fontId="17" fillId="18" borderId="15" xfId="0" applyNumberFormat="1" applyFont="1" applyFill="1" applyBorder="1" applyAlignment="1">
      <alignment horizontal="center" vertical="center"/>
    </xf>
    <xf numFmtId="1" fontId="79" fillId="19" borderId="18" xfId="0" applyNumberFormat="1" applyFont="1" applyFill="1" applyBorder="1" applyAlignment="1">
      <alignment horizontal="center" vertical="center"/>
    </xf>
    <xf numFmtId="1" fontId="79" fillId="19" borderId="22" xfId="0" applyNumberFormat="1" applyFont="1" applyFill="1" applyBorder="1" applyAlignment="1">
      <alignment horizontal="center" vertical="center"/>
    </xf>
    <xf numFmtId="1" fontId="79" fillId="19" borderId="23" xfId="0" applyNumberFormat="1" applyFont="1" applyFill="1" applyBorder="1" applyAlignment="1">
      <alignment horizontal="center" vertical="center"/>
    </xf>
    <xf numFmtId="2" fontId="77" fillId="19" borderId="18" xfId="2" applyNumberFormat="1" applyFont="1" applyFill="1" applyBorder="1" applyAlignment="1">
      <alignment horizontal="center" vertical="center"/>
    </xf>
    <xf numFmtId="2" fontId="77" fillId="19" borderId="22" xfId="2" applyNumberFormat="1" applyFont="1" applyFill="1" applyBorder="1" applyAlignment="1">
      <alignment horizontal="center" vertical="center"/>
    </xf>
    <xf numFmtId="2" fontId="77" fillId="19" borderId="23" xfId="2" applyNumberFormat="1" applyFont="1" applyFill="1" applyBorder="1" applyAlignment="1">
      <alignment horizontal="center" vertical="center"/>
    </xf>
    <xf numFmtId="2" fontId="17" fillId="19" borderId="18" xfId="0" applyNumberFormat="1" applyFont="1" applyFill="1" applyBorder="1" applyAlignment="1">
      <alignment horizontal="center" vertical="center"/>
    </xf>
    <xf numFmtId="2" fontId="17" fillId="19" borderId="22" xfId="0" applyNumberFormat="1" applyFont="1" applyFill="1" applyBorder="1" applyAlignment="1">
      <alignment horizontal="center" vertical="center"/>
    </xf>
    <xf numFmtId="2" fontId="17" fillId="19" borderId="23" xfId="0" applyNumberFormat="1" applyFont="1" applyFill="1" applyBorder="1" applyAlignment="1">
      <alignment horizontal="center" vertical="center"/>
    </xf>
    <xf numFmtId="2" fontId="17" fillId="19" borderId="15" xfId="0" applyNumberFormat="1" applyFont="1" applyFill="1" applyBorder="1" applyAlignment="1">
      <alignment horizontal="center" vertical="center"/>
    </xf>
    <xf numFmtId="2" fontId="17" fillId="18" borderId="15" xfId="0" applyNumberFormat="1" applyFont="1" applyFill="1" applyBorder="1" applyAlignment="1">
      <alignment horizontal="center" vertical="center" wrapText="1"/>
    </xf>
    <xf numFmtId="2" fontId="17" fillId="19" borderId="15" xfId="0" applyNumberFormat="1" applyFont="1" applyFill="1" applyBorder="1" applyAlignment="1">
      <alignment horizontal="center" vertical="center" wrapText="1"/>
    </xf>
    <xf numFmtId="1" fontId="19" fillId="19" borderId="15" xfId="0" applyNumberFormat="1" applyFont="1" applyFill="1" applyBorder="1" applyAlignment="1">
      <alignment horizontal="center" vertical="center"/>
    </xf>
    <xf numFmtId="2" fontId="1" fillId="18" borderId="18" xfId="0" applyNumberFormat="1" applyFont="1" applyFill="1" applyBorder="1" applyAlignment="1">
      <alignment horizontal="center" vertical="center"/>
    </xf>
    <xf numFmtId="2" fontId="1" fillId="18" borderId="22" xfId="0" applyNumberFormat="1" applyFont="1" applyFill="1" applyBorder="1" applyAlignment="1">
      <alignment horizontal="center" vertical="center"/>
    </xf>
    <xf numFmtId="2" fontId="1" fillId="18" borderId="23" xfId="0" applyNumberFormat="1" applyFont="1" applyFill="1" applyBorder="1" applyAlignment="1">
      <alignment horizontal="center" vertical="center"/>
    </xf>
    <xf numFmtId="2" fontId="77" fillId="11" borderId="15" xfId="2" applyNumberFormat="1" applyFont="1" applyFill="1" applyBorder="1" applyAlignment="1">
      <alignment horizontal="center"/>
    </xf>
    <xf numFmtId="2" fontId="17" fillId="11" borderId="15" xfId="0" applyNumberFormat="1" applyFont="1" applyFill="1" applyBorder="1" applyAlignment="1">
      <alignment horizontal="center" vertical="center"/>
    </xf>
    <xf numFmtId="2" fontId="77" fillId="11" borderId="15" xfId="2" applyNumberFormat="1" applyFont="1" applyFill="1" applyBorder="1" applyAlignment="1">
      <alignment horizontal="center" vertical="center"/>
    </xf>
    <xf numFmtId="2" fontId="1" fillId="11" borderId="15" xfId="0" applyNumberFormat="1" applyFont="1" applyFill="1" applyBorder="1" applyAlignment="1">
      <alignment horizontal="center" vertical="center"/>
    </xf>
    <xf numFmtId="1" fontId="19" fillId="11" borderId="25" xfId="0" applyNumberFormat="1" applyFont="1" applyFill="1" applyBorder="1" applyAlignment="1">
      <alignment horizontal="center" vertical="center"/>
    </xf>
    <xf numFmtId="1" fontId="19" fillId="11" borderId="16" xfId="0" applyNumberFormat="1" applyFont="1" applyFill="1" applyBorder="1" applyAlignment="1">
      <alignment horizontal="center" vertical="center"/>
    </xf>
    <xf numFmtId="1" fontId="19" fillId="11" borderId="26" xfId="0" applyNumberFormat="1" applyFont="1" applyFill="1" applyBorder="1" applyAlignment="1">
      <alignment horizontal="center" vertical="center"/>
    </xf>
    <xf numFmtId="2" fontId="77" fillId="19" borderId="15" xfId="2" applyNumberFormat="1" applyFont="1" applyFill="1" applyBorder="1" applyAlignment="1">
      <alignment horizontal="center"/>
    </xf>
    <xf numFmtId="2" fontId="77" fillId="19" borderId="15" xfId="2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2" fontId="6" fillId="12" borderId="15" xfId="0" applyNumberFormat="1" applyFont="1" applyFill="1" applyBorder="1" applyAlignment="1">
      <alignment horizontal="center" vertical="center"/>
    </xf>
    <xf numFmtId="2" fontId="1" fillId="12" borderId="15" xfId="0" applyNumberFormat="1" applyFont="1" applyFill="1" applyBorder="1" applyAlignment="1">
      <alignment horizontal="center" vertical="center" wrapText="1"/>
    </xf>
    <xf numFmtId="1" fontId="5" fillId="10" borderId="60" xfId="0" applyNumberFormat="1" applyFont="1" applyFill="1" applyBorder="1" applyAlignment="1">
      <alignment horizontal="center"/>
    </xf>
    <xf numFmtId="1" fontId="5" fillId="10" borderId="53" xfId="0" applyNumberFormat="1" applyFont="1" applyFill="1" applyBorder="1" applyAlignment="1">
      <alignment horizontal="center"/>
    </xf>
    <xf numFmtId="1" fontId="5" fillId="10" borderId="64" xfId="0" applyNumberFormat="1" applyFont="1" applyFill="1" applyBorder="1" applyAlignment="1">
      <alignment horizontal="center"/>
    </xf>
    <xf numFmtId="1" fontId="5" fillId="0" borderId="60" xfId="0" applyNumberFormat="1" applyFont="1" applyBorder="1" applyAlignment="1">
      <alignment horizontal="center"/>
    </xf>
    <xf numFmtId="1" fontId="5" fillId="0" borderId="53" xfId="0" applyNumberFormat="1" applyFont="1" applyBorder="1" applyAlignment="1">
      <alignment horizontal="center"/>
    </xf>
    <xf numFmtId="1" fontId="5" fillId="0" borderId="64" xfId="0" applyNumberFormat="1" applyFont="1" applyBorder="1" applyAlignment="1">
      <alignment horizontal="center"/>
    </xf>
    <xf numFmtId="1" fontId="5" fillId="0" borderId="29" xfId="0" applyNumberFormat="1" applyFont="1" applyBorder="1" applyAlignment="1">
      <alignment horizontal="center" vertical="center"/>
    </xf>
    <xf numFmtId="1" fontId="5" fillId="0" borderId="28" xfId="0" applyNumberFormat="1" applyFont="1" applyBorder="1" applyAlignment="1">
      <alignment horizontal="center" vertical="center"/>
    </xf>
    <xf numFmtId="1" fontId="5" fillId="0" borderId="56" xfId="0" applyNumberFormat="1" applyFont="1" applyBorder="1" applyAlignment="1">
      <alignment horizontal="center" vertical="center"/>
    </xf>
    <xf numFmtId="2" fontId="17" fillId="2" borderId="15" xfId="0" applyNumberFormat="1" applyFont="1" applyFill="1" applyBorder="1" applyAlignment="1">
      <alignment horizontal="center" vertical="center"/>
    </xf>
    <xf numFmtId="1" fontId="6" fillId="5" borderId="15" xfId="0" applyNumberFormat="1" applyFont="1" applyFill="1" applyBorder="1" applyAlignment="1">
      <alignment horizontal="center" vertical="center"/>
    </xf>
    <xf numFmtId="1" fontId="5" fillId="0" borderId="31" xfId="0" applyNumberFormat="1" applyFont="1" applyBorder="1" applyAlignment="1">
      <alignment horizontal="center"/>
    </xf>
    <xf numFmtId="1" fontId="5" fillId="0" borderId="39" xfId="0" applyNumberFormat="1" applyFont="1" applyBorder="1" applyAlignment="1">
      <alignment horizontal="center"/>
    </xf>
    <xf numFmtId="1" fontId="5" fillId="0" borderId="40" xfId="0" applyNumberFormat="1" applyFont="1" applyBorder="1" applyAlignment="1">
      <alignment horizontal="center"/>
    </xf>
    <xf numFmtId="1" fontId="5" fillId="0" borderId="34" xfId="0" applyNumberFormat="1" applyFont="1" applyBorder="1" applyAlignment="1">
      <alignment horizontal="center" vertical="center"/>
    </xf>
    <xf numFmtId="1" fontId="5" fillId="0" borderId="22" xfId="0" applyNumberFormat="1" applyFont="1" applyBorder="1" applyAlignment="1">
      <alignment horizontal="center" vertical="center"/>
    </xf>
    <xf numFmtId="1" fontId="5" fillId="0" borderId="5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185" fontId="58" fillId="0" borderId="15" xfId="0" applyNumberFormat="1" applyFont="1" applyBorder="1" applyAlignment="1">
      <alignment horizontal="center" vertical="center"/>
    </xf>
    <xf numFmtId="185" fontId="58" fillId="2" borderId="15" xfId="0" applyNumberFormat="1" applyFont="1" applyFill="1" applyBorder="1" applyAlignment="1">
      <alignment horizontal="center" vertical="center"/>
    </xf>
    <xf numFmtId="2" fontId="10" fillId="5" borderId="15" xfId="0" applyNumberFormat="1" applyFont="1" applyFill="1" applyBorder="1" applyAlignment="1">
      <alignment horizontal="center" vertical="center"/>
    </xf>
    <xf numFmtId="1" fontId="19" fillId="18" borderId="25" xfId="0" applyNumberFormat="1" applyFont="1" applyFill="1" applyBorder="1" applyAlignment="1">
      <alignment horizontal="center" vertical="center"/>
    </xf>
    <xf numFmtId="1" fontId="19" fillId="18" borderId="16" xfId="0" applyNumberFormat="1" applyFont="1" applyFill="1" applyBorder="1" applyAlignment="1">
      <alignment horizontal="center" vertical="center"/>
    </xf>
    <xf numFmtId="1" fontId="19" fillId="18" borderId="26" xfId="0" applyNumberFormat="1" applyFont="1" applyFill="1" applyBorder="1" applyAlignment="1">
      <alignment horizontal="center" vertical="center"/>
    </xf>
    <xf numFmtId="2" fontId="78" fillId="5" borderId="15" xfId="0" applyNumberFormat="1" applyFont="1" applyFill="1" applyBorder="1" applyAlignment="1">
      <alignment horizontal="center" vertical="center"/>
    </xf>
    <xf numFmtId="2" fontId="78" fillId="2" borderId="15" xfId="0" applyNumberFormat="1" applyFont="1" applyFill="1" applyBorder="1" applyAlignment="1">
      <alignment horizontal="center" vertical="center" wrapText="1"/>
    </xf>
    <xf numFmtId="2" fontId="17" fillId="2" borderId="15" xfId="0" applyNumberFormat="1" applyFont="1" applyFill="1" applyBorder="1" applyAlignment="1">
      <alignment horizontal="center" vertical="center" wrapText="1"/>
    </xf>
    <xf numFmtId="2" fontId="6" fillId="12" borderId="15" xfId="0" applyNumberFormat="1" applyFont="1" applyFill="1" applyBorder="1" applyAlignment="1">
      <alignment horizontal="center" vertical="center" wrapText="1"/>
    </xf>
    <xf numFmtId="2" fontId="78" fillId="12" borderId="15" xfId="0" applyNumberFormat="1" applyFont="1" applyFill="1" applyBorder="1" applyAlignment="1">
      <alignment horizontal="center" vertical="center" wrapText="1"/>
    </xf>
    <xf numFmtId="2" fontId="1" fillId="6" borderId="15" xfId="0" applyNumberFormat="1" applyFont="1" applyFill="1" applyBorder="1" applyAlignment="1">
      <alignment horizontal="center" vertical="center" wrapText="1"/>
    </xf>
    <xf numFmtId="2" fontId="6" fillId="5" borderId="15" xfId="0" applyNumberFormat="1" applyFont="1" applyFill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2" fontId="17" fillId="16" borderId="15" xfId="0" applyNumberFormat="1" applyFont="1" applyFill="1" applyBorder="1" applyAlignment="1">
      <alignment horizontal="center" vertical="center" wrapText="1"/>
    </xf>
    <xf numFmtId="2" fontId="78" fillId="5" borderId="15" xfId="0" applyNumberFormat="1" applyFont="1" applyFill="1" applyBorder="1" applyAlignment="1">
      <alignment horizontal="center" vertical="center" wrapText="1"/>
    </xf>
    <xf numFmtId="2" fontId="77" fillId="15" borderId="18" xfId="2" applyNumberFormat="1" applyFont="1" applyFill="1" applyBorder="1" applyAlignment="1">
      <alignment horizontal="center" vertical="center"/>
    </xf>
    <xf numFmtId="2" fontId="77" fillId="15" borderId="22" xfId="2" applyNumberFormat="1" applyFont="1" applyFill="1" applyBorder="1" applyAlignment="1">
      <alignment horizontal="center" vertical="center"/>
    </xf>
    <xf numFmtId="2" fontId="77" fillId="15" borderId="23" xfId="2" applyNumberFormat="1" applyFont="1" applyFill="1" applyBorder="1" applyAlignment="1">
      <alignment horizontal="center" vertical="center"/>
    </xf>
    <xf numFmtId="2" fontId="17" fillId="15" borderId="18" xfId="0" applyNumberFormat="1" applyFont="1" applyFill="1" applyBorder="1" applyAlignment="1">
      <alignment horizontal="center" vertical="center"/>
    </xf>
    <xf numFmtId="2" fontId="17" fillId="15" borderId="22" xfId="0" applyNumberFormat="1" applyFont="1" applyFill="1" applyBorder="1" applyAlignment="1">
      <alignment horizontal="center" vertical="center"/>
    </xf>
    <xf numFmtId="2" fontId="17" fillId="15" borderId="23" xfId="0" applyNumberFormat="1" applyFont="1" applyFill="1" applyBorder="1" applyAlignment="1">
      <alignment horizontal="center" vertical="center"/>
    </xf>
    <xf numFmtId="2" fontId="6" fillId="15" borderId="15" xfId="0" applyNumberFormat="1" applyFont="1" applyFill="1" applyBorder="1" applyAlignment="1">
      <alignment horizontal="center"/>
    </xf>
    <xf numFmtId="2" fontId="17" fillId="15" borderId="15" xfId="0" applyNumberFormat="1" applyFont="1" applyFill="1" applyBorder="1" applyAlignment="1">
      <alignment horizontal="center" vertical="center"/>
    </xf>
    <xf numFmtId="2" fontId="17" fillId="16" borderId="18" xfId="0" applyNumberFormat="1" applyFont="1" applyFill="1" applyBorder="1" applyAlignment="1">
      <alignment horizontal="center" vertical="center"/>
    </xf>
    <xf numFmtId="2" fontId="17" fillId="16" borderId="22" xfId="0" applyNumberFormat="1" applyFont="1" applyFill="1" applyBorder="1" applyAlignment="1">
      <alignment horizontal="center" vertical="center"/>
    </xf>
    <xf numFmtId="2" fontId="17" fillId="16" borderId="23" xfId="0" applyNumberFormat="1" applyFont="1" applyFill="1" applyBorder="1" applyAlignment="1">
      <alignment horizontal="center" vertical="center"/>
    </xf>
    <xf numFmtId="2" fontId="77" fillId="16" borderId="18" xfId="2" applyNumberFormat="1" applyFont="1" applyFill="1" applyBorder="1" applyAlignment="1">
      <alignment horizontal="center" vertical="center"/>
    </xf>
    <xf numFmtId="2" fontId="77" fillId="16" borderId="22" xfId="2" applyNumberFormat="1" applyFont="1" applyFill="1" applyBorder="1" applyAlignment="1">
      <alignment horizontal="center" vertical="center"/>
    </xf>
    <xf numFmtId="2" fontId="77" fillId="16" borderId="23" xfId="2" applyNumberFormat="1" applyFont="1" applyFill="1" applyBorder="1" applyAlignment="1">
      <alignment horizontal="center" vertical="center"/>
    </xf>
    <xf numFmtId="2" fontId="6" fillId="5" borderId="15" xfId="0" applyNumberFormat="1" applyFont="1" applyFill="1" applyBorder="1" applyAlignment="1">
      <alignment horizontal="center" vertical="center"/>
    </xf>
    <xf numFmtId="2" fontId="17" fillId="6" borderId="15" xfId="0" applyNumberFormat="1" applyFont="1" applyFill="1" applyBorder="1" applyAlignment="1">
      <alignment horizontal="center" vertical="center"/>
    </xf>
    <xf numFmtId="2" fontId="17" fillId="6" borderId="15" xfId="0" applyNumberFormat="1" applyFont="1" applyFill="1" applyBorder="1" applyAlignment="1">
      <alignment horizontal="center" vertical="center" wrapText="1"/>
    </xf>
    <xf numFmtId="2" fontId="17" fillId="16" borderId="15" xfId="0" applyNumberFormat="1" applyFont="1" applyFill="1" applyBorder="1" applyAlignment="1">
      <alignment horizontal="center" vertical="center"/>
    </xf>
    <xf numFmtId="2" fontId="6" fillId="18" borderId="15" xfId="0" applyNumberFormat="1" applyFont="1" applyFill="1" applyBorder="1" applyAlignment="1">
      <alignment horizontal="center"/>
    </xf>
    <xf numFmtId="2" fontId="6" fillId="19" borderId="15" xfId="0" applyNumberFormat="1" applyFont="1" applyFill="1" applyBorder="1" applyAlignment="1">
      <alignment horizontal="center"/>
    </xf>
    <xf numFmtId="2" fontId="1" fillId="19" borderId="15" xfId="0" applyNumberFormat="1" applyFont="1" applyFill="1" applyBorder="1" applyAlignment="1">
      <alignment horizontal="center" vertical="center"/>
    </xf>
    <xf numFmtId="2" fontId="77" fillId="18" borderId="15" xfId="2" applyNumberFormat="1" applyFont="1" applyFill="1" applyBorder="1" applyAlignment="1">
      <alignment horizontal="center"/>
    </xf>
    <xf numFmtId="2" fontId="1" fillId="18" borderId="15" xfId="0" applyNumberFormat="1" applyFont="1" applyFill="1" applyBorder="1" applyAlignment="1">
      <alignment horizontal="center" vertical="center"/>
    </xf>
    <xf numFmtId="2" fontId="77" fillId="18" borderId="18" xfId="2" applyNumberFormat="1" applyFont="1" applyFill="1" applyBorder="1" applyAlignment="1">
      <alignment horizontal="center"/>
    </xf>
    <xf numFmtId="2" fontId="77" fillId="18" borderId="22" xfId="2" applyNumberFormat="1" applyFont="1" applyFill="1" applyBorder="1" applyAlignment="1">
      <alignment horizontal="center"/>
    </xf>
    <xf numFmtId="2" fontId="77" fillId="18" borderId="23" xfId="2" applyNumberFormat="1" applyFont="1" applyFill="1" applyBorder="1" applyAlignment="1">
      <alignment horizontal="center"/>
    </xf>
    <xf numFmtId="2" fontId="17" fillId="18" borderId="18" xfId="0" applyNumberFormat="1" applyFont="1" applyFill="1" applyBorder="1" applyAlignment="1">
      <alignment horizontal="center" vertical="center"/>
    </xf>
    <xf numFmtId="2" fontId="17" fillId="18" borderId="22" xfId="0" applyNumberFormat="1" applyFont="1" applyFill="1" applyBorder="1" applyAlignment="1">
      <alignment horizontal="center" vertical="center"/>
    </xf>
    <xf numFmtId="2" fontId="17" fillId="18" borderId="23" xfId="0" applyNumberFormat="1" applyFont="1" applyFill="1" applyBorder="1" applyAlignment="1">
      <alignment horizontal="center" vertical="center"/>
    </xf>
    <xf numFmtId="1" fontId="19" fillId="19" borderId="25" xfId="0" applyNumberFormat="1" applyFont="1" applyFill="1" applyBorder="1" applyAlignment="1">
      <alignment horizontal="center" vertical="center"/>
    </xf>
    <xf numFmtId="1" fontId="19" fillId="19" borderId="16" xfId="0" applyNumberFormat="1" applyFont="1" applyFill="1" applyBorder="1" applyAlignment="1">
      <alignment horizontal="center" vertical="center"/>
    </xf>
    <xf numFmtId="1" fontId="19" fillId="19" borderId="26" xfId="0" applyNumberFormat="1" applyFont="1" applyFill="1" applyBorder="1" applyAlignment="1">
      <alignment horizontal="center" vertical="center"/>
    </xf>
    <xf numFmtId="2" fontId="1" fillId="18" borderId="15" xfId="0" applyNumberFormat="1" applyFont="1" applyFill="1" applyBorder="1" applyAlignment="1">
      <alignment horizontal="center"/>
    </xf>
    <xf numFmtId="2" fontId="1" fillId="19" borderId="15" xfId="0" applyNumberFormat="1" applyFont="1" applyFill="1" applyBorder="1" applyAlignment="1">
      <alignment horizontal="center"/>
    </xf>
    <xf numFmtId="2" fontId="17" fillId="11" borderId="15" xfId="0" applyNumberFormat="1" applyFont="1" applyFill="1" applyBorder="1" applyAlignment="1">
      <alignment horizontal="center" vertical="center" wrapText="1"/>
    </xf>
    <xf numFmtId="1" fontId="79" fillId="19" borderId="15" xfId="0" applyNumberFormat="1" applyFont="1" applyFill="1" applyBorder="1" applyAlignment="1">
      <alignment horizontal="center" vertical="center"/>
    </xf>
    <xf numFmtId="2" fontId="17" fillId="17" borderId="15" xfId="0" applyNumberFormat="1" applyFont="1" applyFill="1" applyBorder="1" applyAlignment="1">
      <alignment horizontal="center" vertical="center"/>
    </xf>
    <xf numFmtId="2" fontId="17" fillId="17" borderId="15" xfId="0" applyNumberFormat="1" applyFont="1" applyFill="1" applyBorder="1" applyAlignment="1">
      <alignment horizontal="center" vertical="center" wrapText="1"/>
    </xf>
    <xf numFmtId="1" fontId="19" fillId="17" borderId="15" xfId="0" applyNumberFormat="1" applyFont="1" applyFill="1" applyBorder="1" applyAlignment="1">
      <alignment horizontal="center" vertical="center"/>
    </xf>
    <xf numFmtId="2" fontId="6" fillId="17" borderId="15" xfId="0" applyNumberFormat="1" applyFont="1" applyFill="1" applyBorder="1" applyAlignment="1">
      <alignment horizontal="center"/>
    </xf>
    <xf numFmtId="2" fontId="6" fillId="11" borderId="15" xfId="0" applyNumberFormat="1" applyFont="1" applyFill="1" applyBorder="1" applyAlignment="1">
      <alignment horizontal="center"/>
    </xf>
    <xf numFmtId="2" fontId="77" fillId="17" borderId="15" xfId="2" applyNumberFormat="1" applyFont="1" applyFill="1" applyBorder="1" applyAlignment="1">
      <alignment horizontal="center" vertical="center"/>
    </xf>
    <xf numFmtId="2" fontId="79" fillId="17" borderId="15" xfId="0" applyNumberFormat="1" applyFont="1" applyFill="1" applyBorder="1" applyAlignment="1">
      <alignment horizontal="center" vertical="center"/>
    </xf>
    <xf numFmtId="1" fontId="19" fillId="11" borderId="15" xfId="0" applyNumberFormat="1" applyFont="1" applyFill="1" applyBorder="1" applyAlignment="1">
      <alignment horizontal="center" vertical="center"/>
    </xf>
    <xf numFmtId="2" fontId="1" fillId="11" borderId="15" xfId="0" applyNumberFormat="1" applyFont="1" applyFill="1" applyBorder="1" applyAlignment="1">
      <alignment horizontal="center"/>
    </xf>
    <xf numFmtId="2" fontId="79" fillId="11" borderId="15" xfId="0" applyNumberFormat="1" applyFont="1" applyFill="1" applyBorder="1" applyAlignment="1">
      <alignment horizontal="center" vertical="center"/>
    </xf>
    <xf numFmtId="2" fontId="77" fillId="17" borderId="15" xfId="2" applyNumberFormat="1" applyFont="1" applyFill="1" applyBorder="1" applyAlignment="1">
      <alignment horizontal="center"/>
    </xf>
    <xf numFmtId="1" fontId="19" fillId="17" borderId="25" xfId="0" applyNumberFormat="1" applyFont="1" applyFill="1" applyBorder="1" applyAlignment="1">
      <alignment horizontal="center" vertical="center"/>
    </xf>
    <xf numFmtId="1" fontId="19" fillId="17" borderId="16" xfId="0" applyNumberFormat="1" applyFont="1" applyFill="1" applyBorder="1" applyAlignment="1">
      <alignment horizontal="center" vertical="center"/>
    </xf>
    <xf numFmtId="1" fontId="19" fillId="17" borderId="26" xfId="0" applyNumberFormat="1" applyFont="1" applyFill="1" applyBorder="1" applyAlignment="1">
      <alignment horizontal="center" vertical="center"/>
    </xf>
    <xf numFmtId="2" fontId="1" fillId="17" borderId="15" xfId="0" applyNumberFormat="1" applyFont="1" applyFill="1" applyBorder="1" applyAlignment="1">
      <alignment horizontal="center"/>
    </xf>
    <xf numFmtId="2" fontId="17" fillId="7" borderId="15" xfId="0" applyNumberFormat="1" applyFont="1" applyFill="1" applyBorder="1" applyAlignment="1">
      <alignment horizontal="center" vertical="center" wrapText="1"/>
    </xf>
    <xf numFmtId="2" fontId="17" fillId="14" borderId="15" xfId="0" applyNumberFormat="1" applyFont="1" applyFill="1" applyBorder="1" applyAlignment="1">
      <alignment horizontal="center" vertical="center" wrapText="1"/>
    </xf>
    <xf numFmtId="2" fontId="77" fillId="14" borderId="15" xfId="2" applyNumberFormat="1" applyFont="1" applyFill="1" applyBorder="1" applyAlignment="1">
      <alignment horizontal="center" vertical="center"/>
    </xf>
    <xf numFmtId="2" fontId="17" fillId="14" borderId="15" xfId="0" applyNumberFormat="1" applyFont="1" applyFill="1" applyBorder="1" applyAlignment="1">
      <alignment horizontal="center" vertical="center"/>
    </xf>
    <xf numFmtId="2" fontId="6" fillId="7" borderId="15" xfId="0" applyNumberFormat="1" applyFont="1" applyFill="1" applyBorder="1" applyAlignment="1">
      <alignment horizontal="center"/>
    </xf>
    <xf numFmtId="2" fontId="17" fillId="15" borderId="15" xfId="0" applyNumberFormat="1" applyFont="1" applyFill="1" applyBorder="1" applyAlignment="1">
      <alignment horizontal="center" vertical="center" wrapText="1"/>
    </xf>
    <xf numFmtId="2" fontId="1" fillId="17" borderId="15" xfId="0" applyNumberFormat="1" applyFont="1" applyFill="1" applyBorder="1" applyAlignment="1">
      <alignment horizontal="center" vertical="center"/>
    </xf>
    <xf numFmtId="2" fontId="6" fillId="16" borderId="15" xfId="0" applyNumberFormat="1" applyFont="1" applyFill="1" applyBorder="1" applyAlignment="1">
      <alignment horizontal="center"/>
    </xf>
    <xf numFmtId="2" fontId="6" fillId="14" borderId="15" xfId="0" applyNumberFormat="1" applyFont="1" applyFill="1" applyBorder="1" applyAlignment="1">
      <alignment horizontal="center"/>
    </xf>
    <xf numFmtId="2" fontId="1" fillId="14" borderId="15" xfId="0" applyNumberFormat="1" applyFont="1" applyFill="1" applyBorder="1" applyAlignment="1">
      <alignment horizontal="center" vertical="center"/>
    </xf>
    <xf numFmtId="2" fontId="79" fillId="14" borderId="15" xfId="0" applyNumberFormat="1" applyFont="1" applyFill="1" applyBorder="1" applyAlignment="1">
      <alignment horizontal="center" vertical="center"/>
    </xf>
    <xf numFmtId="2" fontId="6" fillId="6" borderId="15" xfId="0" applyNumberFormat="1" applyFont="1" applyFill="1" applyBorder="1" applyAlignment="1">
      <alignment horizontal="center"/>
    </xf>
    <xf numFmtId="1" fontId="19" fillId="6" borderId="15" xfId="0" applyNumberFormat="1" applyFont="1" applyFill="1" applyBorder="1" applyAlignment="1">
      <alignment horizontal="center" vertical="center"/>
    </xf>
    <xf numFmtId="2" fontId="77" fillId="6" borderId="15" xfId="2" applyNumberFormat="1" applyFont="1" applyFill="1" applyBorder="1" applyAlignment="1">
      <alignment horizontal="center"/>
    </xf>
    <xf numFmtId="2" fontId="77" fillId="6" borderId="15" xfId="2" applyNumberFormat="1" applyFont="1" applyFill="1" applyBorder="1" applyAlignment="1">
      <alignment horizontal="center" vertical="center"/>
    </xf>
    <xf numFmtId="2" fontId="1" fillId="6" borderId="15" xfId="0" applyNumberFormat="1" applyFont="1" applyFill="1" applyBorder="1" applyAlignment="1">
      <alignment horizontal="center"/>
    </xf>
    <xf numFmtId="2" fontId="1" fillId="16" borderId="15" xfId="0" applyNumberFormat="1" applyFont="1" applyFill="1" applyBorder="1" applyAlignment="1">
      <alignment horizontal="center"/>
    </xf>
    <xf numFmtId="1" fontId="19" fillId="16" borderId="15" xfId="0" applyNumberFormat="1" applyFont="1" applyFill="1" applyBorder="1" applyAlignment="1">
      <alignment horizontal="center" vertical="center"/>
    </xf>
    <xf numFmtId="2" fontId="77" fillId="16" borderId="15" xfId="2" applyNumberFormat="1" applyFont="1" applyFill="1" applyBorder="1" applyAlignment="1">
      <alignment horizontal="center"/>
    </xf>
    <xf numFmtId="2" fontId="1" fillId="16" borderId="15" xfId="0" applyNumberFormat="1" applyFont="1" applyFill="1" applyBorder="1" applyAlignment="1">
      <alignment horizontal="center" vertical="center"/>
    </xf>
    <xf numFmtId="2" fontId="79" fillId="16" borderId="15" xfId="0" applyNumberFormat="1" applyFont="1" applyFill="1" applyBorder="1" applyAlignment="1">
      <alignment horizontal="center" vertical="center"/>
    </xf>
    <xf numFmtId="2" fontId="1" fillId="16" borderId="18" xfId="0" applyNumberFormat="1" applyFont="1" applyFill="1" applyBorder="1" applyAlignment="1">
      <alignment horizontal="center" vertical="center"/>
    </xf>
    <xf numFmtId="2" fontId="1" fillId="16" borderId="22" xfId="0" applyNumberFormat="1" applyFont="1" applyFill="1" applyBorder="1" applyAlignment="1">
      <alignment horizontal="center" vertical="center"/>
    </xf>
    <xf numFmtId="2" fontId="1" fillId="16" borderId="23" xfId="0" applyNumberFormat="1" applyFont="1" applyFill="1" applyBorder="1" applyAlignment="1">
      <alignment horizontal="center" vertical="center"/>
    </xf>
    <xf numFmtId="2" fontId="79" fillId="6" borderId="15" xfId="0" applyNumberFormat="1" applyFont="1" applyFill="1" applyBorder="1" applyAlignment="1">
      <alignment horizontal="center" vertical="center"/>
    </xf>
    <xf numFmtId="2" fontId="77" fillId="16" borderId="15" xfId="2" applyNumberFormat="1" applyFont="1" applyFill="1" applyBorder="1" applyAlignment="1">
      <alignment horizontal="center" vertical="center"/>
    </xf>
    <xf numFmtId="1" fontId="19" fillId="14" borderId="15" xfId="0" applyNumberFormat="1" applyFont="1" applyFill="1" applyBorder="1" applyAlignment="1">
      <alignment horizontal="center" vertical="center"/>
    </xf>
    <xf numFmtId="1" fontId="19" fillId="7" borderId="15" xfId="0" applyNumberFormat="1" applyFont="1" applyFill="1" applyBorder="1" applyAlignment="1">
      <alignment horizontal="center" vertical="center"/>
    </xf>
    <xf numFmtId="2" fontId="1" fillId="14" borderId="15" xfId="0" applyNumberFormat="1" applyFont="1" applyFill="1" applyBorder="1" applyAlignment="1">
      <alignment horizontal="center"/>
    </xf>
    <xf numFmtId="2" fontId="77" fillId="14" borderId="15" xfId="2" applyNumberFormat="1" applyFont="1" applyFill="1" applyBorder="1" applyAlignment="1">
      <alignment horizontal="center"/>
    </xf>
    <xf numFmtId="2" fontId="17" fillId="5" borderId="15" xfId="0" applyNumberFormat="1" applyFont="1" applyFill="1" applyBorder="1" applyAlignment="1">
      <alignment horizontal="center" vertical="center"/>
    </xf>
    <xf numFmtId="2" fontId="17" fillId="5" borderId="15" xfId="0" applyNumberFormat="1" applyFont="1" applyFill="1" applyBorder="1" applyAlignment="1">
      <alignment horizontal="center" vertical="center" wrapText="1"/>
    </xf>
    <xf numFmtId="2" fontId="1" fillId="7" borderId="15" xfId="0" applyNumberFormat="1" applyFont="1" applyFill="1" applyBorder="1" applyAlignment="1">
      <alignment horizontal="center"/>
    </xf>
    <xf numFmtId="2" fontId="77" fillId="7" borderId="15" xfId="2" applyNumberFormat="1" applyFont="1" applyFill="1" applyBorder="1" applyAlignment="1">
      <alignment horizontal="center"/>
    </xf>
    <xf numFmtId="2" fontId="1" fillId="7" borderId="15" xfId="0" applyNumberFormat="1" applyFont="1" applyFill="1" applyBorder="1" applyAlignment="1">
      <alignment horizontal="center" vertical="center"/>
    </xf>
    <xf numFmtId="2" fontId="79" fillId="7" borderId="15" xfId="0" applyNumberFormat="1" applyFont="1" applyFill="1" applyBorder="1" applyAlignment="1">
      <alignment horizontal="center" vertical="center"/>
    </xf>
    <xf numFmtId="164" fontId="16" fillId="2" borderId="15" xfId="0" applyNumberFormat="1" applyFont="1" applyFill="1" applyBorder="1" applyAlignment="1">
      <alignment horizontal="center" vertical="center"/>
    </xf>
    <xf numFmtId="164" fontId="16" fillId="0" borderId="18" xfId="0" applyNumberFormat="1" applyFont="1" applyBorder="1" applyAlignment="1">
      <alignment horizontal="center" vertical="center"/>
    </xf>
    <xf numFmtId="164" fontId="16" fillId="0" borderId="22" xfId="0" applyNumberFormat="1" applyFont="1" applyBorder="1" applyAlignment="1">
      <alignment horizontal="center" vertical="center"/>
    </xf>
    <xf numFmtId="164" fontId="16" fillId="0" borderId="23" xfId="0" applyNumberFormat="1" applyFont="1" applyBorder="1" applyAlignment="1">
      <alignment horizontal="center" vertical="center"/>
    </xf>
    <xf numFmtId="164" fontId="16" fillId="0" borderId="20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164" fontId="16" fillId="0" borderId="13" xfId="0" applyNumberFormat="1" applyFont="1" applyBorder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6" fillId="0" borderId="71" xfId="0" applyNumberFormat="1" applyFont="1" applyBorder="1" applyAlignment="1">
      <alignment horizontal="center" vertical="center"/>
    </xf>
    <xf numFmtId="164" fontId="16" fillId="0" borderId="19" xfId="0" applyNumberFormat="1" applyFont="1" applyBorder="1" applyAlignment="1">
      <alignment horizontal="center" vertical="center"/>
    </xf>
    <xf numFmtId="164" fontId="16" fillId="0" borderId="17" xfId="0" applyNumberFormat="1" applyFont="1" applyBorder="1" applyAlignment="1">
      <alignment horizontal="center" vertical="center"/>
    </xf>
    <xf numFmtId="164" fontId="16" fillId="0" borderId="24" xfId="0" applyNumberFormat="1" applyFont="1" applyBorder="1" applyAlignment="1">
      <alignment horizontal="center" vertical="center"/>
    </xf>
    <xf numFmtId="2" fontId="79" fillId="5" borderId="15" xfId="0" applyNumberFormat="1" applyFont="1" applyFill="1" applyBorder="1" applyAlignment="1">
      <alignment horizontal="center" vertical="center"/>
    </xf>
    <xf numFmtId="1" fontId="20" fillId="5" borderId="15" xfId="2" applyNumberFormat="1" applyFont="1" applyFill="1" applyBorder="1" applyAlignment="1">
      <alignment horizontal="center" vertical="center"/>
    </xf>
    <xf numFmtId="2" fontId="77" fillId="5" borderId="15" xfId="2" applyNumberFormat="1" applyFont="1" applyFill="1" applyBorder="1" applyAlignment="1">
      <alignment horizontal="center" vertical="center"/>
    </xf>
    <xf numFmtId="2" fontId="6" fillId="0" borderId="20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27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71" xfId="0" applyNumberFormat="1" applyFont="1" applyBorder="1" applyAlignment="1">
      <alignment horizontal="center"/>
    </xf>
    <xf numFmtId="2" fontId="6" fillId="0" borderId="19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2" fontId="6" fillId="0" borderId="24" xfId="0" applyNumberFormat="1" applyFont="1" applyBorder="1" applyAlignment="1">
      <alignment horizontal="center"/>
    </xf>
    <xf numFmtId="2" fontId="1" fillId="6" borderId="18" xfId="0" applyNumberFormat="1" applyFont="1" applyFill="1" applyBorder="1" applyAlignment="1">
      <alignment horizontal="center" vertical="center"/>
    </xf>
    <xf numFmtId="2" fontId="1" fillId="6" borderId="22" xfId="0" applyNumberFormat="1" applyFont="1" applyFill="1" applyBorder="1" applyAlignment="1">
      <alignment horizontal="center" vertical="center"/>
    </xf>
    <xf numFmtId="2" fontId="1" fillId="6" borderId="23" xfId="0" applyNumberFormat="1" applyFont="1" applyFill="1" applyBorder="1" applyAlignment="1">
      <alignment horizontal="center" vertical="center"/>
    </xf>
    <xf numFmtId="1" fontId="19" fillId="6" borderId="25" xfId="0" applyNumberFormat="1" applyFont="1" applyFill="1" applyBorder="1" applyAlignment="1">
      <alignment horizontal="center" vertical="center"/>
    </xf>
    <xf numFmtId="1" fontId="19" fillId="6" borderId="16" xfId="0" applyNumberFormat="1" applyFont="1" applyFill="1" applyBorder="1" applyAlignment="1">
      <alignment horizontal="center" vertical="center"/>
    </xf>
    <xf numFmtId="1" fontId="19" fillId="6" borderId="26" xfId="0" applyNumberFormat="1" applyFont="1" applyFill="1" applyBorder="1" applyAlignment="1">
      <alignment horizontal="center" vertical="center"/>
    </xf>
    <xf numFmtId="2" fontId="79" fillId="6" borderId="18" xfId="0" applyNumberFormat="1" applyFont="1" applyFill="1" applyBorder="1" applyAlignment="1">
      <alignment horizontal="center" vertical="center"/>
    </xf>
    <xf numFmtId="2" fontId="79" fillId="6" borderId="22" xfId="0" applyNumberFormat="1" applyFont="1" applyFill="1" applyBorder="1" applyAlignment="1">
      <alignment horizontal="center" vertical="center"/>
    </xf>
    <xf numFmtId="2" fontId="79" fillId="6" borderId="23" xfId="0" applyNumberFormat="1" applyFont="1" applyFill="1" applyBorder="1" applyAlignment="1">
      <alignment horizontal="center" vertical="center"/>
    </xf>
    <xf numFmtId="2" fontId="77" fillId="5" borderId="15" xfId="2" applyNumberFormat="1" applyFont="1" applyFill="1" applyBorder="1" applyAlignment="1">
      <alignment horizontal="center"/>
    </xf>
    <xf numFmtId="1" fontId="20" fillId="15" borderId="20" xfId="2" applyNumberFormat="1" applyFont="1" applyFill="1" applyBorder="1" applyAlignment="1">
      <alignment horizontal="center" vertical="center"/>
    </xf>
    <xf numFmtId="1" fontId="20" fillId="15" borderId="1" xfId="2" applyNumberFormat="1" applyFont="1" applyFill="1" applyBorder="1" applyAlignment="1">
      <alignment horizontal="center" vertical="center"/>
    </xf>
    <xf numFmtId="1" fontId="20" fillId="15" borderId="27" xfId="2" applyNumberFormat="1" applyFont="1" applyFill="1" applyBorder="1" applyAlignment="1">
      <alignment horizontal="center" vertical="center"/>
    </xf>
    <xf numFmtId="1" fontId="20" fillId="15" borderId="13" xfId="2" applyNumberFormat="1" applyFont="1" applyFill="1" applyBorder="1" applyAlignment="1">
      <alignment horizontal="center" vertical="center"/>
    </xf>
    <xf numFmtId="1" fontId="20" fillId="15" borderId="0" xfId="2" applyNumberFormat="1" applyFont="1" applyFill="1" applyAlignment="1">
      <alignment horizontal="center" vertical="center"/>
    </xf>
    <xf numFmtId="1" fontId="20" fillId="15" borderId="71" xfId="2" applyNumberFormat="1" applyFont="1" applyFill="1" applyBorder="1" applyAlignment="1">
      <alignment horizontal="center" vertical="center"/>
    </xf>
    <xf numFmtId="1" fontId="20" fillId="15" borderId="19" xfId="2" applyNumberFormat="1" applyFont="1" applyFill="1" applyBorder="1" applyAlignment="1">
      <alignment horizontal="center" vertical="center"/>
    </xf>
    <xf numFmtId="1" fontId="20" fillId="15" borderId="17" xfId="2" applyNumberFormat="1" applyFont="1" applyFill="1" applyBorder="1" applyAlignment="1">
      <alignment horizontal="center" vertical="center"/>
    </xf>
    <xf numFmtId="1" fontId="20" fillId="15" borderId="24" xfId="2" applyNumberFormat="1" applyFont="1" applyFill="1" applyBorder="1" applyAlignment="1">
      <alignment horizontal="center" vertical="center"/>
    </xf>
    <xf numFmtId="2" fontId="79" fillId="15" borderId="18" xfId="0" applyNumberFormat="1" applyFont="1" applyFill="1" applyBorder="1" applyAlignment="1">
      <alignment horizontal="center" vertical="center"/>
    </xf>
    <xf numFmtId="2" fontId="79" fillId="15" borderId="22" xfId="0" applyNumberFormat="1" applyFont="1" applyFill="1" applyBorder="1" applyAlignment="1">
      <alignment horizontal="center" vertical="center"/>
    </xf>
    <xf numFmtId="2" fontId="79" fillId="15" borderId="23" xfId="0" applyNumberFormat="1" applyFont="1" applyFill="1" applyBorder="1" applyAlignment="1">
      <alignment horizontal="center" vertical="center"/>
    </xf>
    <xf numFmtId="2" fontId="77" fillId="15" borderId="18" xfId="2" applyNumberFormat="1" applyFont="1" applyFill="1" applyBorder="1" applyAlignment="1">
      <alignment horizontal="center"/>
    </xf>
    <xf numFmtId="2" fontId="77" fillId="15" borderId="22" xfId="2" applyNumberFormat="1" applyFont="1" applyFill="1" applyBorder="1" applyAlignment="1">
      <alignment horizontal="center"/>
    </xf>
    <xf numFmtId="2" fontId="77" fillId="15" borderId="23" xfId="2" applyNumberFormat="1" applyFont="1" applyFill="1" applyBorder="1" applyAlignment="1">
      <alignment horizontal="center"/>
    </xf>
  </cellXfs>
  <cellStyles count="6">
    <cellStyle name="Comma" xfId="4" builtinId="3"/>
    <cellStyle name="Normal" xfId="0" builtinId="0"/>
    <cellStyle name="Normal 2" xfId="2" xr:uid="{00000000-0005-0000-0000-000001000000}"/>
    <cellStyle name="Normal 2 3" xfId="5" xr:uid="{39C04B7D-F9B8-4EC8-A825-DBA59AF9CE25}"/>
    <cellStyle name="Normal_Daftar kelistrikan (ecg)" xfId="3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333375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314325</xdr:colOff>
      <xdr:row>0</xdr:row>
      <xdr:rowOff>0</xdr:rowOff>
    </xdr:from>
    <xdr:to>
      <xdr:col>21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5553075" y="0"/>
          <a:ext cx="778669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314325</xdr:colOff>
      <xdr:row>0</xdr:row>
      <xdr:rowOff>0</xdr:rowOff>
    </xdr:from>
    <xdr:to>
      <xdr:col>21</xdr:col>
      <xdr:colOff>485775</xdr:colOff>
      <xdr:row>0</xdr:row>
      <xdr:rowOff>133350</xdr:rowOff>
    </xdr:to>
    <xdr:sp macro="" textlink="">
      <xdr:nvSpPr>
        <xdr:cNvPr id="4" name="Text Box 7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13592175" y="0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3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3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3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3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3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3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3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3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3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3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3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3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3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3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3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3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3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3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3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3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3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3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3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3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3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3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3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3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3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3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3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3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3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3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3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3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3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3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3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3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3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3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3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3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3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3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3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3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3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3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3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3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3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3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3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3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3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3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3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3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3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3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3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3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3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3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3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3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3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3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3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3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3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3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3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3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3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3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3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3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3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3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3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3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3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3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3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3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3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3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3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3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3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3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3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3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3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3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3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3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3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3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3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3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3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3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3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3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3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3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3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3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3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3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3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3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3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3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3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3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3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3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3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3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3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3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3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3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3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3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3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3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3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3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3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3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3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3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3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3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3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3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3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3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3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3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3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3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3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3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3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3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3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3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3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3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3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3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3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3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3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3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3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3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3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3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3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3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3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3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3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3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3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3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3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3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3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3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3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3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3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3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3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3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3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3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3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3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3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3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3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3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3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3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3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3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3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3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3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3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3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3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3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3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3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3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3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3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3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3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3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3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3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3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3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3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3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3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3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3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3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3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3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3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3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3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3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3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3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3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3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3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3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3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3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3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3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3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3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3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3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3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3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3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3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3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3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3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3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3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3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3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3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3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3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3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3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3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3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3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3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3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3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3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3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3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3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3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3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3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3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3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3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3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3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3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3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3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3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3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3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3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3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3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3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3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3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3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3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3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3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3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3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3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3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3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3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3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3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3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3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3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3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3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3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3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71</xdr:row>
          <xdr:rowOff>142875</xdr:rowOff>
        </xdr:from>
        <xdr:to>
          <xdr:col>12</xdr:col>
          <xdr:colOff>428625</xdr:colOff>
          <xdr:row>71</xdr:row>
          <xdr:rowOff>142875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3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71</xdr:row>
          <xdr:rowOff>142875</xdr:rowOff>
        </xdr:from>
        <xdr:to>
          <xdr:col>12</xdr:col>
          <xdr:colOff>438150</xdr:colOff>
          <xdr:row>71</xdr:row>
          <xdr:rowOff>142875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3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5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5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5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5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5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5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5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5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5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5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5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5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5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5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5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5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5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5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5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5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5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5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5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5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5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5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5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5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5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5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5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5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5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5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5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5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5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5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5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5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5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5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5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5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5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5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5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5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5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5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5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5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5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5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5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5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5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5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5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5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5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5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5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5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5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5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5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5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5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5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5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5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5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5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5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5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5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5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5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5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5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5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5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5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5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5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5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5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5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5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5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5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5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5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5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5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5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5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5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5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5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5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5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5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5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5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5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5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5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5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5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5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5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5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5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5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5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5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5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5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5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5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5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5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5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5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5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5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5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5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86</xdr:row>
          <xdr:rowOff>0</xdr:rowOff>
        </xdr:from>
        <xdr:to>
          <xdr:col>11</xdr:col>
          <xdr:colOff>409575</xdr:colOff>
          <xdr:row>86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5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5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ropbox\DATA%20BPFK\LABORATORIUM%20FLOW%20DAN%20VOLUME\10.%20SOFTWARE%20LAB%20VOLUME%20&amp;%20LK\MASTER%20TH%202020\SETOR%20SOFTWARE%205-8-2020\Syringe%20Pump%2029-7-20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OFTWARE%202019\SOFTWARE%20TEKANAN\TENSIMETER%208-1-2019%20K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SOFTWARE%20GABUNG%20SERTI\Lab%20Optik%20Akustik%20hanyar%20banar\SOFTWARE%20OPTIC%20&amp;%20AKUSTIK\Doppler%20Yankes%2017.5.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DATA%20BPFK\LABORATORIUM%20FLOW%20DAN%20VOLUME\10.%20SOFTWARE%20LAB%20VOLUME%20&amp;%20LK\MASTER%20TH%202021\MASTER%20THERMOHYGR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bpfkbanjarbaru/public/alkes_excel_file/Pengujian/Nebuliz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K"/>
      <sheetName val="INPUT DATA"/>
      <sheetName val="UB"/>
      <sheetName val="PENYELIA"/>
      <sheetName val="LHK"/>
      <sheetName val="DB Thermohygro"/>
      <sheetName val="DB Kelistrikan"/>
      <sheetName val="DB IDA"/>
      <sheetName val="SCO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 t="str">
            <v>KESIMPULAN PENGUKURAN KINERJA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MBAR KERJA"/>
      <sheetName val="INPUT"/>
      <sheetName val="BUDGET"/>
      <sheetName val="PENYELIA"/>
      <sheetName val="YANTEK"/>
      <sheetName val="SERTIFIKAT"/>
      <sheetName val="INPUT DATA SERTIFIKAT TERKINI "/>
      <sheetName val="INPUT DATA SERTIFIKAT YANG LALU"/>
      <sheetName val="SERTIFIKAT THERMOHYGROMETER"/>
      <sheetName val="KESIMPULA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 SERTIFIKAT"/>
      <sheetName val="Lembar Kerja"/>
      <sheetName val="Riwayat Revisi"/>
      <sheetName val="Input Data"/>
      <sheetName val="UB"/>
      <sheetName val="Penyelia"/>
      <sheetName val="LHK"/>
      <sheetName val="SERTIFIKAT"/>
      <sheetName val="SURAT KETERANGAN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K"/>
      <sheetName val="INPUT DATA"/>
      <sheetName val="UB"/>
      <sheetName val="PENYELIA"/>
      <sheetName val="LHK"/>
      <sheetName val="DB Thermohygro"/>
      <sheetName val="DB Gas Analyzer"/>
      <sheetName val="SCORING"/>
    </sheetNames>
    <sheetDataSet>
      <sheetData sheetId="0"/>
      <sheetData sheetId="1">
        <row r="17">
          <cell r="E17">
            <v>1013</v>
          </cell>
          <cell r="F17">
            <v>1010.1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K"/>
      <sheetName val="Riwayat Revisi"/>
      <sheetName val="UB"/>
      <sheetName val="PENYELIA"/>
      <sheetName val="ID"/>
      <sheetName val="LH"/>
      <sheetName val="SERTIFIKAT"/>
      <sheetName val="DB Thermohygro"/>
      <sheetName val="DB Kelistrikan"/>
      <sheetName val="DB Flow Analyzer"/>
      <sheetName val="SCORING"/>
    </sheetNames>
    <sheetDataSet>
      <sheetData sheetId="0"/>
      <sheetData sheetId="1"/>
      <sheetData sheetId="2"/>
      <sheetData sheetId="3"/>
      <sheetData sheetId="4">
        <row r="43">
          <cell r="B43" t="str">
            <v>Electrical Safety Analyzer, Merek : Fluke, Model : ESA 615, SN : 4670010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4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1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421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63" Type="http://schemas.openxmlformats.org/officeDocument/2006/relationships/oleObject" Target="../embeddings/oleObject367.bin"/><Relationship Id="rId84" Type="http://schemas.openxmlformats.org/officeDocument/2006/relationships/oleObject" Target="../embeddings/oleObject388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123" Type="http://schemas.openxmlformats.org/officeDocument/2006/relationships/oleObject" Target="../embeddings/oleObject427.bin"/><Relationship Id="rId128" Type="http://schemas.openxmlformats.org/officeDocument/2006/relationships/oleObject" Target="../embeddings/oleObject432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113" Type="http://schemas.openxmlformats.org/officeDocument/2006/relationships/oleObject" Target="../embeddings/oleObject417.bin"/><Relationship Id="rId118" Type="http://schemas.openxmlformats.org/officeDocument/2006/relationships/oleObject" Target="../embeddings/oleObject422.bin"/><Relationship Id="rId134" Type="http://schemas.openxmlformats.org/officeDocument/2006/relationships/oleObject" Target="../embeddings/oleObject438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59" Type="http://schemas.openxmlformats.org/officeDocument/2006/relationships/oleObject" Target="../embeddings/oleObject363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124" Type="http://schemas.openxmlformats.org/officeDocument/2006/relationships/oleObject" Target="../embeddings/oleObject428.bin"/><Relationship Id="rId129" Type="http://schemas.openxmlformats.org/officeDocument/2006/relationships/oleObject" Target="../embeddings/oleObject433.bin"/><Relationship Id="rId54" Type="http://schemas.openxmlformats.org/officeDocument/2006/relationships/oleObject" Target="../embeddings/oleObject358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10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49" Type="http://schemas.openxmlformats.org/officeDocument/2006/relationships/oleObject" Target="../embeddings/oleObject353.bin"/><Relationship Id="rId114" Type="http://schemas.openxmlformats.org/officeDocument/2006/relationships/oleObject" Target="../embeddings/oleObject418.bin"/><Relationship Id="rId119" Type="http://schemas.openxmlformats.org/officeDocument/2006/relationships/oleObject" Target="../embeddings/oleObject423.bin"/><Relationship Id="rId44" Type="http://schemas.openxmlformats.org/officeDocument/2006/relationships/oleObject" Target="../embeddings/oleObject348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130" Type="http://schemas.openxmlformats.org/officeDocument/2006/relationships/oleObject" Target="../embeddings/oleObject434.bin"/><Relationship Id="rId135" Type="http://schemas.openxmlformats.org/officeDocument/2006/relationships/oleObject" Target="../embeddings/oleObject439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120" Type="http://schemas.openxmlformats.org/officeDocument/2006/relationships/oleObject" Target="../embeddings/oleObject424.bin"/><Relationship Id="rId125" Type="http://schemas.openxmlformats.org/officeDocument/2006/relationships/oleObject" Target="../embeddings/oleObject429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110" Type="http://schemas.openxmlformats.org/officeDocument/2006/relationships/oleObject" Target="../embeddings/oleObject414.bin"/><Relationship Id="rId115" Type="http://schemas.openxmlformats.org/officeDocument/2006/relationships/oleObject" Target="../embeddings/oleObject419.bin"/><Relationship Id="rId131" Type="http://schemas.openxmlformats.org/officeDocument/2006/relationships/oleObject" Target="../embeddings/oleObject435.bin"/><Relationship Id="rId136" Type="http://schemas.openxmlformats.org/officeDocument/2006/relationships/oleObject" Target="../embeddings/oleObject440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Relationship Id="rId14" Type="http://schemas.openxmlformats.org/officeDocument/2006/relationships/oleObject" Target="../embeddings/oleObject318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56" Type="http://schemas.openxmlformats.org/officeDocument/2006/relationships/oleObject" Target="../embeddings/oleObject360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126" Type="http://schemas.openxmlformats.org/officeDocument/2006/relationships/oleObject" Target="../embeddings/oleObject430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121" Type="http://schemas.openxmlformats.org/officeDocument/2006/relationships/oleObject" Target="../embeddings/oleObject425.bin"/><Relationship Id="rId3" Type="http://schemas.openxmlformats.org/officeDocument/2006/relationships/vmlDrawing" Target="../drawings/vmlDrawing2.vml"/><Relationship Id="rId25" Type="http://schemas.openxmlformats.org/officeDocument/2006/relationships/oleObject" Target="../embeddings/oleObject329.bin"/><Relationship Id="rId46" Type="http://schemas.openxmlformats.org/officeDocument/2006/relationships/oleObject" Target="../embeddings/oleObject350.bin"/><Relationship Id="rId67" Type="http://schemas.openxmlformats.org/officeDocument/2006/relationships/oleObject" Target="../embeddings/oleObject371.bin"/><Relationship Id="rId116" Type="http://schemas.openxmlformats.org/officeDocument/2006/relationships/oleObject" Target="../embeddings/oleObject420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62" Type="http://schemas.openxmlformats.org/officeDocument/2006/relationships/oleObject" Target="../embeddings/oleObject366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Relationship Id="rId111" Type="http://schemas.openxmlformats.org/officeDocument/2006/relationships/oleObject" Target="../embeddings/oleObject415.bin"/><Relationship Id="rId132" Type="http://schemas.openxmlformats.org/officeDocument/2006/relationships/oleObject" Target="../embeddings/oleObject436.bin"/><Relationship Id="rId15" Type="http://schemas.openxmlformats.org/officeDocument/2006/relationships/oleObject" Target="../embeddings/oleObject319.bin"/><Relationship Id="rId36" Type="http://schemas.openxmlformats.org/officeDocument/2006/relationships/oleObject" Target="../embeddings/oleObject340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27" Type="http://schemas.openxmlformats.org/officeDocument/2006/relationships/oleObject" Target="../embeddings/oleObject431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52" Type="http://schemas.openxmlformats.org/officeDocument/2006/relationships/oleObject" Target="../embeddings/oleObject356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122" Type="http://schemas.openxmlformats.org/officeDocument/2006/relationships/oleObject" Target="../embeddings/oleObject426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26" Type="http://schemas.openxmlformats.org/officeDocument/2006/relationships/oleObject" Target="../embeddings/oleObject330.bin"/><Relationship Id="rId47" Type="http://schemas.openxmlformats.org/officeDocument/2006/relationships/oleObject" Target="../embeddings/oleObject351.bin"/><Relationship Id="rId68" Type="http://schemas.openxmlformats.org/officeDocument/2006/relationships/oleObject" Target="../embeddings/oleObject372.bin"/><Relationship Id="rId89" Type="http://schemas.openxmlformats.org/officeDocument/2006/relationships/oleObject" Target="../embeddings/oleObject393.bin"/><Relationship Id="rId112" Type="http://schemas.openxmlformats.org/officeDocument/2006/relationships/oleObject" Target="../embeddings/oleObject416.bin"/><Relationship Id="rId133" Type="http://schemas.openxmlformats.org/officeDocument/2006/relationships/oleObject" Target="../embeddings/oleObject43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67"/>
  <sheetViews>
    <sheetView showGridLines="0" view="pageBreakPreview" topLeftCell="A19" zoomScaleNormal="100" zoomScaleSheetLayoutView="100" workbookViewId="0">
      <selection activeCell="K27" sqref="K27"/>
    </sheetView>
  </sheetViews>
  <sheetFormatPr defaultColWidth="9.140625" defaultRowHeight="14.25" x14ac:dyDescent="0.2"/>
  <cols>
    <col min="1" max="1" width="4.42578125" style="6" customWidth="1"/>
    <col min="2" max="2" width="4.85546875" style="6" customWidth="1"/>
    <col min="3" max="3" width="22.42578125" style="6" customWidth="1"/>
    <col min="4" max="4" width="9.140625" style="6" customWidth="1"/>
    <col min="5" max="9" width="10.7109375" style="6" customWidth="1"/>
    <col min="10" max="10" width="12" style="6" customWidth="1"/>
    <col min="11" max="11" width="10" style="6" customWidth="1"/>
    <col min="12" max="12" width="6.7109375" style="6" customWidth="1"/>
    <col min="13" max="16384" width="9.140625" style="6"/>
  </cols>
  <sheetData>
    <row r="1" spans="1:16" ht="18" x14ac:dyDescent="0.25">
      <c r="A1" s="1104" t="s">
        <v>0</v>
      </c>
      <c r="B1" s="1104"/>
      <c r="C1" s="1104"/>
      <c r="D1" s="1104"/>
      <c r="E1" s="1104"/>
      <c r="F1" s="1104"/>
      <c r="G1" s="1104"/>
      <c r="H1" s="1104"/>
      <c r="I1" s="1104"/>
      <c r="J1" s="1104"/>
      <c r="K1" s="1104"/>
      <c r="L1" s="1104"/>
      <c r="M1" s="5"/>
      <c r="N1" s="5"/>
      <c r="O1" s="5"/>
      <c r="P1" s="5"/>
    </row>
    <row r="2" spans="1:16" ht="15" x14ac:dyDescent="0.2">
      <c r="A2" s="1103" t="s">
        <v>1</v>
      </c>
      <c r="B2" s="1103"/>
      <c r="C2" s="1103"/>
      <c r="D2" s="1103"/>
      <c r="E2" s="1103"/>
      <c r="F2" s="1103"/>
      <c r="G2" s="1103"/>
      <c r="H2" s="1103"/>
      <c r="I2" s="1103"/>
      <c r="J2" s="1103"/>
      <c r="K2" s="1103"/>
      <c r="L2" s="1103"/>
    </row>
    <row r="3" spans="1:16" ht="15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8"/>
    </row>
    <row r="4" spans="1:16" x14ac:dyDescent="0.2">
      <c r="K4" s="9"/>
      <c r="L4" s="9"/>
    </row>
    <row r="5" spans="1:16" x14ac:dyDescent="0.2">
      <c r="A5" s="6" t="s">
        <v>2</v>
      </c>
      <c r="D5" s="10" t="s">
        <v>3</v>
      </c>
      <c r="E5" s="11"/>
      <c r="F5" s="11"/>
      <c r="G5" s="11"/>
      <c r="H5" s="11"/>
      <c r="K5" s="9"/>
      <c r="L5" s="9"/>
    </row>
    <row r="6" spans="1:16" x14ac:dyDescent="0.2">
      <c r="A6" s="6" t="s">
        <v>4</v>
      </c>
      <c r="D6" s="12" t="s">
        <v>3</v>
      </c>
      <c r="E6" s="13"/>
      <c r="F6" s="13"/>
      <c r="G6" s="13"/>
      <c r="H6" s="13"/>
      <c r="K6" s="9"/>
      <c r="L6" s="9"/>
    </row>
    <row r="7" spans="1:16" x14ac:dyDescent="0.2">
      <c r="A7" s="6" t="s">
        <v>5</v>
      </c>
      <c r="D7" s="12" t="s">
        <v>3</v>
      </c>
      <c r="E7" s="13"/>
      <c r="F7" s="13"/>
      <c r="G7" s="13"/>
      <c r="H7" s="13"/>
      <c r="K7" s="9"/>
      <c r="L7" s="9"/>
    </row>
    <row r="8" spans="1:16" x14ac:dyDescent="0.2">
      <c r="A8" s="6" t="s">
        <v>6</v>
      </c>
      <c r="C8" s="6" t="s">
        <v>7</v>
      </c>
      <c r="D8" s="12" t="s">
        <v>3</v>
      </c>
      <c r="E8" s="13"/>
      <c r="F8" s="492" t="s">
        <v>8</v>
      </c>
      <c r="G8" s="492"/>
      <c r="H8" s="492"/>
      <c r="K8" s="9"/>
      <c r="L8" s="9"/>
    </row>
    <row r="9" spans="1:16" x14ac:dyDescent="0.2">
      <c r="C9" s="6" t="s">
        <v>9</v>
      </c>
      <c r="D9" s="12" t="s">
        <v>3</v>
      </c>
      <c r="E9" s="13"/>
      <c r="F9" s="6" t="s">
        <v>8</v>
      </c>
      <c r="K9" s="9"/>
      <c r="L9" s="9"/>
    </row>
    <row r="10" spans="1:16" x14ac:dyDescent="0.2">
      <c r="A10" s="6" t="s">
        <v>10</v>
      </c>
      <c r="D10" s="12" t="s">
        <v>11</v>
      </c>
      <c r="E10" s="11"/>
      <c r="F10" s="11"/>
      <c r="G10" s="11"/>
      <c r="H10" s="11"/>
      <c r="K10" s="9"/>
      <c r="L10" s="9"/>
    </row>
    <row r="11" spans="1:16" x14ac:dyDescent="0.2">
      <c r="A11" s="6" t="s">
        <v>12</v>
      </c>
      <c r="D11" s="12" t="s">
        <v>3</v>
      </c>
      <c r="E11" s="13"/>
      <c r="F11" s="13"/>
      <c r="G11" s="13"/>
      <c r="H11" s="13"/>
      <c r="K11" s="9"/>
      <c r="L11" s="9"/>
    </row>
    <row r="12" spans="1:16" x14ac:dyDescent="0.2">
      <c r="A12" s="6" t="s">
        <v>13</v>
      </c>
      <c r="D12" s="12" t="s">
        <v>3</v>
      </c>
      <c r="E12" s="13"/>
      <c r="F12" s="13"/>
      <c r="G12" s="13"/>
      <c r="H12" s="13"/>
      <c r="K12" s="9"/>
      <c r="L12" s="9"/>
    </row>
    <row r="13" spans="1:16" x14ac:dyDescent="0.2">
      <c r="A13" s="6" t="s">
        <v>14</v>
      </c>
      <c r="D13" s="12" t="s">
        <v>3</v>
      </c>
      <c r="E13" s="13"/>
      <c r="F13" s="13"/>
      <c r="G13" s="13"/>
      <c r="H13" s="13"/>
      <c r="K13" s="9"/>
      <c r="L13" s="9"/>
    </row>
    <row r="14" spans="1:16" ht="9.9499999999999993" customHeight="1" x14ac:dyDescent="0.2">
      <c r="D14" s="14"/>
      <c r="K14" s="9"/>
      <c r="L14" s="9"/>
    </row>
    <row r="15" spans="1:16" ht="15.75" customHeight="1" x14ac:dyDescent="0.25">
      <c r="A15" s="8" t="s">
        <v>15</v>
      </c>
      <c r="B15" s="8" t="s">
        <v>16</v>
      </c>
    </row>
    <row r="16" spans="1:16" ht="15.75" customHeight="1" x14ac:dyDescent="0.25">
      <c r="B16" s="8"/>
      <c r="C16" s="8"/>
      <c r="D16" s="15" t="s">
        <v>17</v>
      </c>
      <c r="E16" s="15" t="s">
        <v>18</v>
      </c>
    </row>
    <row r="17" spans="1:16" ht="15.75" customHeight="1" x14ac:dyDescent="0.2">
      <c r="B17" s="6" t="s">
        <v>19</v>
      </c>
      <c r="D17" s="16"/>
      <c r="E17" s="16"/>
      <c r="F17" s="17" t="s">
        <v>20</v>
      </c>
    </row>
    <row r="18" spans="1:16" ht="15.75" customHeight="1" x14ac:dyDescent="0.2">
      <c r="B18" s="6" t="s">
        <v>21</v>
      </c>
      <c r="D18" s="16"/>
      <c r="E18" s="16"/>
      <c r="F18" s="17" t="s">
        <v>22</v>
      </c>
      <c r="I18" s="18"/>
    </row>
    <row r="19" spans="1:16" ht="15.75" customHeight="1" x14ac:dyDescent="0.2">
      <c r="B19" s="6" t="s">
        <v>23</v>
      </c>
      <c r="D19" s="19" t="s">
        <v>11</v>
      </c>
      <c r="E19" s="19"/>
      <c r="F19" s="17" t="s">
        <v>24</v>
      </c>
      <c r="I19" s="18"/>
    </row>
    <row r="20" spans="1:16" ht="9.9499999999999993" customHeight="1" x14ac:dyDescent="0.2">
      <c r="F20" s="17"/>
      <c r="I20" s="18"/>
      <c r="L20" s="1106" t="s">
        <v>25</v>
      </c>
    </row>
    <row r="21" spans="1:16" ht="15.75" customHeight="1" x14ac:dyDescent="0.25">
      <c r="A21" s="8" t="s">
        <v>26</v>
      </c>
      <c r="B21" s="8" t="s">
        <v>27</v>
      </c>
      <c r="G21" s="20"/>
      <c r="I21" s="18"/>
      <c r="J21" s="1109"/>
      <c r="K21" s="1109"/>
      <c r="L21" s="1106"/>
    </row>
    <row r="22" spans="1:16" ht="15.75" customHeight="1" x14ac:dyDescent="0.2">
      <c r="B22" s="6" t="s">
        <v>28</v>
      </c>
      <c r="D22" s="6" t="s">
        <v>29</v>
      </c>
      <c r="F22" s="66"/>
      <c r="G22" s="66"/>
      <c r="H22" s="66"/>
      <c r="I22" s="66"/>
      <c r="J22" s="1110"/>
      <c r="K22" s="1110"/>
      <c r="L22" s="345">
        <v>5</v>
      </c>
    </row>
    <row r="23" spans="1:16" ht="15.75" customHeight="1" x14ac:dyDescent="0.2">
      <c r="B23" s="6" t="s">
        <v>30</v>
      </c>
      <c r="D23" s="6" t="s">
        <v>29</v>
      </c>
      <c r="F23" s="66"/>
      <c r="G23" s="66"/>
      <c r="H23" s="66"/>
      <c r="I23" s="66"/>
      <c r="J23" s="1110"/>
      <c r="K23" s="1110"/>
      <c r="L23" s="345">
        <v>5</v>
      </c>
    </row>
    <row r="24" spans="1:16" ht="9.9499999999999993" customHeight="1" x14ac:dyDescent="0.2">
      <c r="F24" s="21"/>
      <c r="G24" s="21"/>
      <c r="H24" s="21"/>
      <c r="I24" s="21"/>
      <c r="J24" s="21"/>
    </row>
    <row r="25" spans="1:16" ht="15.75" customHeight="1" x14ac:dyDescent="0.25">
      <c r="A25" s="8" t="s">
        <v>31</v>
      </c>
      <c r="B25" s="8" t="s">
        <v>32</v>
      </c>
      <c r="G25" s="20"/>
      <c r="I25" s="18"/>
    </row>
    <row r="26" spans="1:16" ht="30.75" customHeight="1" x14ac:dyDescent="0.2">
      <c r="B26" s="298" t="s">
        <v>33</v>
      </c>
      <c r="C26" s="1098" t="s">
        <v>34</v>
      </c>
      <c r="D26" s="1105"/>
      <c r="E26" s="1105"/>
      <c r="F26" s="1105"/>
      <c r="G26" s="1105"/>
      <c r="H26" s="1098" t="s">
        <v>35</v>
      </c>
      <c r="I26" s="1099"/>
      <c r="J26" s="1098" t="s">
        <v>36</v>
      </c>
      <c r="K26" s="1099"/>
      <c r="L26" s="206" t="s">
        <v>25</v>
      </c>
    </row>
    <row r="27" spans="1:16" ht="15.75" customHeight="1" x14ac:dyDescent="0.2">
      <c r="B27" s="300">
        <v>1</v>
      </c>
      <c r="C27" s="301" t="s">
        <v>37</v>
      </c>
      <c r="D27" s="302"/>
      <c r="E27" s="302"/>
      <c r="F27" s="302"/>
      <c r="G27" s="304"/>
      <c r="H27" s="319"/>
      <c r="I27" s="320" t="s">
        <v>38</v>
      </c>
      <c r="J27" s="321">
        <v>2</v>
      </c>
      <c r="K27" s="322" t="s">
        <v>38</v>
      </c>
      <c r="L27" s="323">
        <v>10</v>
      </c>
    </row>
    <row r="28" spans="1:16" ht="15.75" customHeight="1" x14ac:dyDescent="0.2">
      <c r="B28" s="308">
        <v>2</v>
      </c>
      <c r="C28" s="318" t="s">
        <v>39</v>
      </c>
      <c r="D28" s="303"/>
      <c r="E28" s="303"/>
      <c r="F28" s="303"/>
      <c r="G28" s="309"/>
      <c r="H28" s="305"/>
      <c r="I28" s="306" t="s">
        <v>40</v>
      </c>
      <c r="J28" s="325" t="s">
        <v>41</v>
      </c>
      <c r="K28" s="307" t="s">
        <v>40</v>
      </c>
      <c r="L28" s="324">
        <v>10</v>
      </c>
    </row>
    <row r="29" spans="1:16" ht="15.75" customHeight="1" x14ac:dyDescent="0.2">
      <c r="B29" s="329">
        <v>3</v>
      </c>
      <c r="C29" s="330" t="s">
        <v>42</v>
      </c>
      <c r="D29" s="310"/>
      <c r="E29" s="310"/>
      <c r="F29" s="310"/>
      <c r="G29" s="311"/>
      <c r="H29" s="312"/>
      <c r="I29" s="313" t="s">
        <v>43</v>
      </c>
      <c r="J29" s="326" t="s">
        <v>44</v>
      </c>
      <c r="K29" s="314" t="s">
        <v>43</v>
      </c>
      <c r="L29" s="331">
        <v>20</v>
      </c>
    </row>
    <row r="30" spans="1:16" ht="9.9499999999999993" customHeight="1" x14ac:dyDescent="0.2">
      <c r="B30" s="25"/>
      <c r="C30" s="26"/>
      <c r="G30" s="20"/>
      <c r="H30" s="23"/>
      <c r="J30" s="23"/>
      <c r="M30" s="23"/>
    </row>
    <row r="31" spans="1:16" ht="15.75" customHeight="1" x14ac:dyDescent="0.25">
      <c r="A31" s="8" t="s">
        <v>45</v>
      </c>
      <c r="B31" s="8" t="s">
        <v>46</v>
      </c>
      <c r="D31" s="8"/>
      <c r="E31" s="8"/>
      <c r="F31" s="8"/>
      <c r="G31" s="25"/>
      <c r="K31" s="9"/>
      <c r="L31" s="9"/>
    </row>
    <row r="32" spans="1:16" ht="23.25" customHeight="1" x14ac:dyDescent="0.2">
      <c r="B32" s="1100" t="s">
        <v>47</v>
      </c>
      <c r="C32" s="1100" t="s">
        <v>34</v>
      </c>
      <c r="D32" s="1100" t="s">
        <v>48</v>
      </c>
      <c r="E32" s="1113" t="s">
        <v>49</v>
      </c>
      <c r="F32" s="1113"/>
      <c r="G32" s="1113"/>
      <c r="H32" s="1113"/>
      <c r="I32" s="1113"/>
      <c r="J32" s="1113"/>
      <c r="K32" s="1114" t="s">
        <v>50</v>
      </c>
      <c r="L32" s="1107" t="s">
        <v>25</v>
      </c>
      <c r="N32" s="1111"/>
      <c r="O32" s="1111"/>
      <c r="P32" s="1111"/>
    </row>
    <row r="33" spans="1:16" ht="20.100000000000001" customHeight="1" x14ac:dyDescent="0.2">
      <c r="B33" s="1102"/>
      <c r="C33" s="1102"/>
      <c r="D33" s="1102"/>
      <c r="E33" s="28" t="s">
        <v>51</v>
      </c>
      <c r="F33" s="28" t="s">
        <v>52</v>
      </c>
      <c r="G33" s="28" t="s">
        <v>53</v>
      </c>
      <c r="H33" s="28" t="s">
        <v>54</v>
      </c>
      <c r="I33" s="29" t="s">
        <v>55</v>
      </c>
      <c r="J33" s="273" t="s">
        <v>56</v>
      </c>
      <c r="K33" s="1115"/>
      <c r="L33" s="1108"/>
      <c r="N33" s="1111"/>
      <c r="O33" s="1111"/>
      <c r="P33" s="1111"/>
    </row>
    <row r="34" spans="1:16" ht="30" customHeight="1" x14ac:dyDescent="0.2">
      <c r="B34" s="30">
        <v>1</v>
      </c>
      <c r="C34" s="1100" t="s">
        <v>57</v>
      </c>
      <c r="D34" s="493" t="s">
        <v>58</v>
      </c>
      <c r="E34" s="31"/>
      <c r="F34" s="31"/>
      <c r="G34" s="31"/>
      <c r="H34" s="31"/>
      <c r="I34" s="31"/>
      <c r="J34" s="32"/>
      <c r="K34" s="1116" t="s">
        <v>59</v>
      </c>
      <c r="L34" s="4">
        <v>6.25</v>
      </c>
      <c r="N34" s="1112"/>
      <c r="O34" s="34"/>
      <c r="P34" s="35"/>
    </row>
    <row r="35" spans="1:16" ht="30" customHeight="1" x14ac:dyDescent="0.2">
      <c r="B35" s="36">
        <v>2</v>
      </c>
      <c r="C35" s="1101"/>
      <c r="D35" s="494" t="s">
        <v>60</v>
      </c>
      <c r="E35" s="37"/>
      <c r="F35" s="37"/>
      <c r="G35" s="37"/>
      <c r="H35" s="37"/>
      <c r="I35" s="37"/>
      <c r="J35" s="38"/>
      <c r="K35" s="1117"/>
      <c r="L35" s="4">
        <v>6.25</v>
      </c>
      <c r="N35" s="1112"/>
      <c r="O35" s="34"/>
      <c r="P35" s="35"/>
    </row>
    <row r="36" spans="1:16" ht="30" customHeight="1" x14ac:dyDescent="0.2">
      <c r="B36" s="69">
        <v>3</v>
      </c>
      <c r="C36" s="1101"/>
      <c r="D36" s="495" t="s">
        <v>61</v>
      </c>
      <c r="E36" s="70"/>
      <c r="F36" s="70"/>
      <c r="G36" s="70"/>
      <c r="H36" s="70"/>
      <c r="I36" s="70"/>
      <c r="J36" s="71"/>
      <c r="K36" s="1117"/>
      <c r="L36" s="4">
        <v>6.25</v>
      </c>
      <c r="N36" s="1112"/>
      <c r="O36" s="34"/>
      <c r="P36" s="35"/>
    </row>
    <row r="37" spans="1:16" ht="30" customHeight="1" x14ac:dyDescent="0.2">
      <c r="B37" s="39">
        <v>4</v>
      </c>
      <c r="C37" s="1102"/>
      <c r="D37" s="496" t="s">
        <v>62</v>
      </c>
      <c r="E37" s="40"/>
      <c r="F37" s="40"/>
      <c r="G37" s="40"/>
      <c r="H37" s="40"/>
      <c r="I37" s="40"/>
      <c r="J37" s="41"/>
      <c r="K37" s="1118"/>
      <c r="L37" s="4">
        <v>6.25</v>
      </c>
      <c r="N37" s="1112"/>
      <c r="O37" s="34"/>
      <c r="P37" s="35"/>
    </row>
    <row r="38" spans="1:16" ht="30" customHeight="1" x14ac:dyDescent="0.2">
      <c r="B38" s="42">
        <v>5</v>
      </c>
      <c r="C38" s="1098" t="s">
        <v>63</v>
      </c>
      <c r="D38" s="1099"/>
      <c r="E38" s="68"/>
      <c r="F38" s="68"/>
      <c r="G38" s="68"/>
      <c r="H38" s="68"/>
      <c r="I38" s="68"/>
      <c r="J38" s="68"/>
      <c r="K38" s="43" t="s">
        <v>64</v>
      </c>
      <c r="L38" s="207">
        <v>25</v>
      </c>
      <c r="N38" s="44"/>
      <c r="O38" s="34"/>
      <c r="P38" s="35"/>
    </row>
    <row r="39" spans="1:16" ht="14.25" customHeight="1" x14ac:dyDescent="0.2">
      <c r="B39" s="45"/>
      <c r="C39" s="1097" t="s">
        <v>65</v>
      </c>
      <c r="D39" s="1097"/>
      <c r="E39" s="295"/>
      <c r="F39" s="33"/>
      <c r="G39" s="33"/>
      <c r="H39" s="33"/>
      <c r="I39" s="33"/>
      <c r="J39" s="33"/>
      <c r="K39" s="46"/>
      <c r="L39" s="47"/>
      <c r="M39" s="46"/>
      <c r="N39" s="24"/>
      <c r="O39" s="34"/>
      <c r="P39" s="48"/>
    </row>
    <row r="40" spans="1:16" ht="14.25" customHeight="1" x14ac:dyDescent="0.2">
      <c r="B40" s="45"/>
      <c r="C40" s="315"/>
      <c r="D40" s="315"/>
      <c r="E40" s="316"/>
      <c r="F40" s="33"/>
      <c r="G40" s="33"/>
      <c r="H40" s="33"/>
      <c r="I40" s="33"/>
      <c r="J40" s="33"/>
      <c r="K40" s="46"/>
      <c r="L40" s="47"/>
      <c r="M40" s="46"/>
      <c r="N40" s="24"/>
      <c r="O40" s="34"/>
      <c r="P40" s="48"/>
    </row>
    <row r="41" spans="1:16" ht="15.75" customHeight="1" x14ac:dyDescent="0.2">
      <c r="A41" s="49" t="s">
        <v>66</v>
      </c>
      <c r="B41" s="50" t="s">
        <v>67</v>
      </c>
      <c r="D41" s="51"/>
      <c r="E41" s="52"/>
      <c r="F41" s="52"/>
      <c r="G41" s="52"/>
      <c r="H41" s="52"/>
      <c r="I41" s="52"/>
      <c r="J41" s="52"/>
      <c r="K41" s="53"/>
      <c r="L41" s="53"/>
      <c r="M41" s="54"/>
      <c r="N41" s="25"/>
      <c r="O41" s="55"/>
      <c r="P41" s="48"/>
    </row>
    <row r="42" spans="1:16" ht="15.75" customHeight="1" x14ac:dyDescent="0.2">
      <c r="B42" s="26" t="s">
        <v>68</v>
      </c>
      <c r="C42" s="51"/>
      <c r="D42" s="52"/>
      <c r="E42" s="52"/>
      <c r="F42" s="11"/>
      <c r="G42" s="52"/>
      <c r="H42" s="52"/>
      <c r="I42" s="52"/>
      <c r="J42" s="21"/>
      <c r="K42" s="21"/>
      <c r="L42" s="56"/>
      <c r="M42" s="57"/>
      <c r="N42" s="57"/>
    </row>
    <row r="43" spans="1:16" ht="15.75" customHeight="1" x14ac:dyDescent="0.2">
      <c r="B43" s="26" t="s">
        <v>69</v>
      </c>
      <c r="C43" s="58"/>
      <c r="D43" s="59" t="s">
        <v>70</v>
      </c>
      <c r="E43" s="60" t="s">
        <v>71</v>
      </c>
      <c r="G43" s="52"/>
      <c r="H43" s="52"/>
      <c r="I43" s="52"/>
      <c r="J43" s="21"/>
      <c r="K43" s="21"/>
      <c r="L43" s="56"/>
      <c r="M43" s="57"/>
      <c r="N43" s="57"/>
    </row>
    <row r="44" spans="1:16" ht="15.75" customHeight="1" x14ac:dyDescent="0.2">
      <c r="B44" s="61"/>
      <c r="C44" s="58"/>
      <c r="D44" s="59"/>
      <c r="E44" s="274"/>
      <c r="F44" s="11"/>
      <c r="G44" s="59"/>
      <c r="H44" s="59"/>
      <c r="I44" s="52"/>
      <c r="J44" s="21"/>
      <c r="K44" s="21"/>
      <c r="L44" s="56"/>
      <c r="M44" s="332" t="s">
        <v>72</v>
      </c>
      <c r="N44" s="57"/>
    </row>
    <row r="45" spans="1:16" ht="15.75" customHeight="1" x14ac:dyDescent="0.2">
      <c r="B45" s="61"/>
      <c r="C45" s="58"/>
      <c r="D45" s="59"/>
      <c r="E45" s="274"/>
      <c r="F45" s="11"/>
      <c r="G45" s="59"/>
      <c r="H45" s="59"/>
      <c r="I45" s="52"/>
      <c r="J45" s="21"/>
      <c r="K45" s="21"/>
      <c r="L45" s="56"/>
      <c r="M45" s="79" t="s">
        <v>73</v>
      </c>
      <c r="N45" s="57"/>
    </row>
    <row r="46" spans="1:16" ht="15.75" customHeight="1" x14ac:dyDescent="0.2">
      <c r="B46" s="61"/>
      <c r="C46" s="58"/>
      <c r="D46" s="59"/>
      <c r="E46" s="274"/>
      <c r="F46" s="11"/>
      <c r="G46" s="59"/>
      <c r="H46" s="59"/>
      <c r="I46" s="52"/>
      <c r="J46" s="21"/>
      <c r="K46" s="21"/>
      <c r="L46" s="56"/>
      <c r="M46" s="57"/>
      <c r="N46" s="57"/>
    </row>
    <row r="47" spans="1:16" ht="9.9499999999999993" customHeight="1" x14ac:dyDescent="0.2">
      <c r="B47" s="49"/>
      <c r="C47" s="26"/>
      <c r="D47" s="51"/>
      <c r="E47" s="52"/>
      <c r="F47" s="60"/>
      <c r="G47" s="52"/>
      <c r="H47" s="52"/>
      <c r="I47" s="52"/>
      <c r="J47" s="21"/>
      <c r="K47" s="21"/>
      <c r="L47" s="56"/>
      <c r="M47" s="57"/>
      <c r="N47" s="57"/>
    </row>
    <row r="48" spans="1:16" ht="15.75" customHeight="1" x14ac:dyDescent="0.2">
      <c r="A48" s="50" t="s">
        <v>74</v>
      </c>
      <c r="B48" s="50" t="s">
        <v>75</v>
      </c>
      <c r="D48" s="27"/>
      <c r="E48" s="27"/>
      <c r="F48" s="27"/>
      <c r="G48" s="27"/>
      <c r="H48" s="27"/>
      <c r="I48" s="27"/>
      <c r="J48" s="27"/>
      <c r="K48" s="25"/>
      <c r="L48" s="25"/>
      <c r="M48" s="25"/>
      <c r="N48" s="25"/>
    </row>
    <row r="49" spans="1:14" ht="15.75" customHeight="1" x14ac:dyDescent="0.2">
      <c r="B49" s="62"/>
      <c r="C49" s="17" t="s">
        <v>76</v>
      </c>
      <c r="D49" s="27"/>
      <c r="E49" s="27"/>
      <c r="F49" s="27"/>
      <c r="G49" s="27"/>
      <c r="H49" s="27"/>
      <c r="I49" s="27"/>
      <c r="K49" s="25"/>
      <c r="L49" s="25"/>
      <c r="M49" s="25"/>
      <c r="N49" s="25"/>
    </row>
    <row r="50" spans="1:14" ht="15.75" customHeight="1" x14ac:dyDescent="0.2">
      <c r="B50" s="62"/>
      <c r="C50" s="17" t="s">
        <v>77</v>
      </c>
      <c r="D50" s="27"/>
      <c r="E50" s="27"/>
      <c r="F50" s="27"/>
      <c r="G50" s="27"/>
      <c r="H50" s="27"/>
      <c r="I50" s="27"/>
      <c r="K50" s="25"/>
      <c r="L50" s="25"/>
      <c r="M50" s="25"/>
      <c r="N50" s="25"/>
    </row>
    <row r="51" spans="1:14" ht="15.75" customHeight="1" x14ac:dyDescent="0.2">
      <c r="B51" s="62"/>
      <c r="C51" s="17" t="s">
        <v>78</v>
      </c>
      <c r="D51" s="27"/>
      <c r="E51" s="27"/>
      <c r="F51" s="27"/>
      <c r="G51" s="27"/>
      <c r="H51" s="27"/>
      <c r="I51" s="27"/>
      <c r="K51" s="25"/>
      <c r="L51" s="25"/>
      <c r="M51" s="25"/>
      <c r="N51" s="25"/>
    </row>
    <row r="52" spans="1:14" ht="15.75" customHeight="1" x14ac:dyDescent="0.2">
      <c r="B52" s="62"/>
      <c r="C52" s="17" t="s">
        <v>79</v>
      </c>
      <c r="D52" s="27"/>
      <c r="E52" s="27"/>
      <c r="F52" s="27"/>
      <c r="G52" s="27"/>
      <c r="H52" s="27"/>
      <c r="I52" s="27"/>
      <c r="K52" s="25"/>
      <c r="L52" s="25"/>
      <c r="M52" s="25"/>
      <c r="N52" s="25"/>
    </row>
    <row r="53" spans="1:14" ht="15.75" customHeight="1" x14ac:dyDescent="0.2">
      <c r="B53" s="62"/>
      <c r="C53" s="63" t="s">
        <v>80</v>
      </c>
      <c r="D53" s="27"/>
      <c r="E53" s="27"/>
      <c r="F53" s="27"/>
      <c r="G53" s="27"/>
      <c r="H53" s="27"/>
      <c r="I53" s="27"/>
      <c r="K53" s="25"/>
      <c r="L53" s="25"/>
      <c r="M53" s="25"/>
      <c r="N53" s="25"/>
    </row>
    <row r="54" spans="1:14" ht="15.75" customHeight="1" x14ac:dyDescent="0.2">
      <c r="B54" s="62"/>
      <c r="C54" s="63" t="s">
        <v>81</v>
      </c>
      <c r="D54" s="27"/>
      <c r="E54" s="27"/>
      <c r="F54" s="27"/>
      <c r="G54" s="27"/>
      <c r="H54" s="27"/>
      <c r="I54" s="27"/>
      <c r="K54" s="25"/>
      <c r="L54" s="25"/>
      <c r="M54" s="25"/>
      <c r="N54" s="25"/>
    </row>
    <row r="55" spans="1:14" ht="15.75" customHeight="1" x14ac:dyDescent="0.2">
      <c r="B55" s="62"/>
      <c r="C55" s="63" t="s">
        <v>82</v>
      </c>
      <c r="D55" s="27"/>
      <c r="E55" s="27"/>
      <c r="F55" s="27"/>
      <c r="G55" s="27"/>
      <c r="H55" s="27"/>
      <c r="I55" s="27"/>
      <c r="K55" s="25"/>
      <c r="L55" s="25"/>
      <c r="M55" s="25"/>
      <c r="N55" s="25"/>
    </row>
    <row r="56" spans="1:14" ht="15.75" customHeight="1" x14ac:dyDescent="0.2">
      <c r="B56" s="62"/>
      <c r="C56" s="64" t="s">
        <v>83</v>
      </c>
      <c r="D56" s="27"/>
      <c r="E56" s="27"/>
      <c r="F56" s="27"/>
      <c r="G56" s="27"/>
      <c r="H56" s="27"/>
      <c r="I56" s="27"/>
      <c r="K56" s="25"/>
      <c r="L56" s="25"/>
      <c r="M56" s="25"/>
      <c r="N56" s="25"/>
    </row>
    <row r="57" spans="1:14" ht="15.75" customHeight="1" x14ac:dyDescent="0.2">
      <c r="B57" s="62"/>
      <c r="C57" s="64" t="s">
        <v>84</v>
      </c>
      <c r="D57" s="27"/>
      <c r="E57" s="27"/>
      <c r="F57" s="27"/>
      <c r="G57" s="27"/>
      <c r="H57" s="27"/>
      <c r="I57" s="27"/>
      <c r="K57" s="25"/>
      <c r="L57" s="25"/>
      <c r="M57" s="25"/>
      <c r="N57" s="25"/>
    </row>
    <row r="58" spans="1:14" ht="15.75" customHeight="1" x14ac:dyDescent="0.2">
      <c r="B58" s="62"/>
      <c r="C58" s="65" t="s">
        <v>85</v>
      </c>
      <c r="D58" s="27"/>
      <c r="E58" s="27"/>
      <c r="F58" s="27"/>
      <c r="G58" s="27"/>
      <c r="H58" s="27"/>
      <c r="I58" s="27"/>
      <c r="K58" s="25"/>
      <c r="L58" s="25"/>
      <c r="M58" s="25"/>
      <c r="N58" s="25"/>
    </row>
    <row r="59" spans="1:14" ht="15.75" customHeight="1" x14ac:dyDescent="0.25">
      <c r="B59" s="344"/>
      <c r="C59" s="64" t="s">
        <v>86</v>
      </c>
      <c r="D59" s="26"/>
      <c r="E59" s="66"/>
      <c r="F59" s="66"/>
      <c r="G59" s="66"/>
      <c r="H59" s="66"/>
      <c r="I59" s="66"/>
      <c r="J59" s="26"/>
    </row>
    <row r="60" spans="1:14" ht="15.75" customHeight="1" x14ac:dyDescent="0.25">
      <c r="B60" s="344"/>
      <c r="C60" s="64" t="s">
        <v>87</v>
      </c>
      <c r="D60" s="26"/>
      <c r="E60" s="66"/>
      <c r="F60" s="66"/>
      <c r="G60" s="66"/>
      <c r="H60" s="66"/>
      <c r="I60" s="66"/>
      <c r="J60" s="26"/>
    </row>
    <row r="61" spans="1:14" ht="15.75" customHeight="1" x14ac:dyDescent="0.25">
      <c r="B61" s="344"/>
      <c r="C61" s="64" t="s">
        <v>88</v>
      </c>
      <c r="D61" s="26"/>
      <c r="E61" s="66"/>
      <c r="F61" s="66"/>
      <c r="G61" s="66"/>
      <c r="H61" s="66"/>
      <c r="I61" s="66"/>
      <c r="J61" s="26"/>
    </row>
    <row r="62" spans="1:14" ht="9.9499999999999993" customHeight="1" x14ac:dyDescent="0.2">
      <c r="B62" s="26"/>
      <c r="C62" s="64"/>
      <c r="D62" s="26"/>
      <c r="E62" s="66"/>
      <c r="F62" s="21"/>
      <c r="G62" s="21"/>
      <c r="H62" s="21"/>
      <c r="I62" s="21"/>
      <c r="J62" s="26"/>
    </row>
    <row r="63" spans="1:14" ht="15.75" customHeight="1" x14ac:dyDescent="0.2">
      <c r="A63" s="50" t="s">
        <v>89</v>
      </c>
      <c r="B63" s="49" t="s">
        <v>90</v>
      </c>
      <c r="D63" s="26"/>
      <c r="E63" s="26"/>
      <c r="F63" s="26"/>
      <c r="G63" s="26"/>
      <c r="H63" s="26"/>
      <c r="I63" s="26"/>
      <c r="J63" s="26"/>
      <c r="M63" s="67"/>
    </row>
    <row r="64" spans="1:14" ht="15.75" customHeight="1" x14ac:dyDescent="0.2">
      <c r="B64" s="61"/>
      <c r="C64" s="11"/>
      <c r="D64" s="26"/>
      <c r="E64" s="26"/>
      <c r="F64" s="26"/>
      <c r="G64" s="26"/>
      <c r="H64" s="26"/>
      <c r="I64" s="26"/>
      <c r="J64" s="26"/>
    </row>
    <row r="65" spans="2:10" ht="15.75" customHeight="1" x14ac:dyDescent="0.2">
      <c r="B65" s="17"/>
      <c r="D65" s="26"/>
      <c r="E65" s="26"/>
      <c r="F65" s="26"/>
      <c r="G65" s="26"/>
      <c r="H65" s="26"/>
      <c r="I65" s="26"/>
      <c r="J65" s="26"/>
    </row>
    <row r="66" spans="2:10" ht="15.75" customHeight="1" x14ac:dyDescent="0.2">
      <c r="B66" s="17"/>
      <c r="D66" s="26"/>
      <c r="E66" s="26"/>
      <c r="F66" s="26"/>
      <c r="G66" s="26"/>
      <c r="H66" s="26"/>
      <c r="I66" s="26"/>
      <c r="J66" s="26"/>
    </row>
    <row r="67" spans="2:10" ht="15.75" customHeight="1" x14ac:dyDescent="0.2">
      <c r="B67" s="17"/>
      <c r="D67" s="26"/>
      <c r="E67" s="26"/>
      <c r="F67" s="26"/>
      <c r="G67" s="26"/>
      <c r="H67" s="26"/>
      <c r="I67" s="26"/>
      <c r="J67" s="26"/>
    </row>
  </sheetData>
  <sheetProtection insertRows="0"/>
  <mergeCells count="21">
    <mergeCell ref="N32:N33"/>
    <mergeCell ref="O32:P33"/>
    <mergeCell ref="N34:N37"/>
    <mergeCell ref="E32:J32"/>
    <mergeCell ref="K32:K33"/>
    <mergeCell ref="K34:K37"/>
    <mergeCell ref="C39:D39"/>
    <mergeCell ref="C38:D38"/>
    <mergeCell ref="C34:C37"/>
    <mergeCell ref="A2:L2"/>
    <mergeCell ref="A1:L1"/>
    <mergeCell ref="B32:B33"/>
    <mergeCell ref="C32:C33"/>
    <mergeCell ref="D32:D33"/>
    <mergeCell ref="C26:G26"/>
    <mergeCell ref="H26:I26"/>
    <mergeCell ref="J26:K26"/>
    <mergeCell ref="L20:L21"/>
    <mergeCell ref="L32:L33"/>
    <mergeCell ref="J21:K21"/>
    <mergeCell ref="J22:K23"/>
  </mergeCells>
  <phoneticPr fontId="53" type="noConversion"/>
  <printOptions horizontalCentered="1"/>
  <pageMargins left="0.51181102362204722" right="0.23622047244094491" top="0.9055118110236221" bottom="0.23622047244094491" header="0.23622047244094491" footer="0.23622047244094491"/>
  <pageSetup paperSize="9" scale="72" orientation="portrait" horizontalDpi="4294967294" verticalDpi="4294967294" r:id="rId1"/>
  <headerFooter>
    <oddHeader xml:space="preserve">&amp;R&amp;"-,Regular"&amp;8FV.LK-027-18/REV:0
</oddHeader>
    <oddFooter xml:space="preserve">&amp;R&amp;"-,Regular"&amp;8&amp;K00-012Software Infusion Pump 2019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>
    <tabColor rgb="FF00B0F0"/>
  </sheetPr>
  <dimension ref="A1:AL410"/>
  <sheetViews>
    <sheetView view="pageBreakPreview" topLeftCell="O378" zoomScaleNormal="100" zoomScaleSheetLayoutView="100" workbookViewId="0">
      <selection activeCell="T391" sqref="T391"/>
    </sheetView>
  </sheetViews>
  <sheetFormatPr defaultColWidth="8.7109375" defaultRowHeight="12.75" x14ac:dyDescent="0.2"/>
  <cols>
    <col min="1" max="1" width="9.42578125" style="555" bestFit="1" customWidth="1"/>
    <col min="2" max="2" width="8.7109375" style="555"/>
    <col min="3" max="3" width="9.28515625" style="555" bestFit="1" customWidth="1"/>
    <col min="4" max="4" width="8.7109375" style="555"/>
    <col min="5" max="5" width="9.42578125" style="555" bestFit="1" customWidth="1"/>
    <col min="6" max="6" width="8.7109375" style="555" customWidth="1"/>
    <col min="7" max="7" width="8.7109375" style="555"/>
    <col min="8" max="8" width="9.42578125" style="555" bestFit="1" customWidth="1"/>
    <col min="9" max="17" width="8.7109375" style="555"/>
    <col min="18" max="18" width="10" style="555" bestFit="1" customWidth="1"/>
    <col min="19" max="19" width="8.7109375" style="555"/>
    <col min="20" max="20" width="11" style="555" customWidth="1"/>
    <col min="21" max="21" width="8.85546875" style="555" customWidth="1"/>
    <col min="22" max="16384" width="8.7109375" style="555"/>
  </cols>
  <sheetData>
    <row r="1" spans="1:24" ht="19.5" thickBot="1" x14ac:dyDescent="0.25">
      <c r="A1" s="1346" t="s">
        <v>282</v>
      </c>
      <c r="B1" s="1347"/>
      <c r="C1" s="1347"/>
      <c r="D1" s="1347"/>
      <c r="E1" s="1347"/>
      <c r="F1" s="1347"/>
      <c r="G1" s="1347"/>
      <c r="H1" s="1347"/>
      <c r="I1" s="1347"/>
      <c r="J1" s="1347"/>
      <c r="K1" s="1347"/>
      <c r="L1" s="1347"/>
      <c r="M1" s="1347"/>
      <c r="N1" s="1347"/>
      <c r="O1" s="1347"/>
      <c r="P1" s="1347"/>
      <c r="Q1" s="1347"/>
      <c r="R1" s="1347"/>
      <c r="S1" s="1347"/>
      <c r="T1" s="1347"/>
      <c r="U1" s="1347"/>
    </row>
    <row r="2" spans="1:24" x14ac:dyDescent="0.2">
      <c r="A2" s="1345">
        <v>1</v>
      </c>
      <c r="B2" s="1344" t="s">
        <v>283</v>
      </c>
      <c r="C2" s="1344"/>
      <c r="D2" s="1344"/>
      <c r="E2" s="1344"/>
      <c r="F2" s="1344"/>
      <c r="G2" s="1344"/>
      <c r="I2" s="1344" t="str">
        <f>B2</f>
        <v>KOREKSI KIMO THERMOHYGROMETER 15062873</v>
      </c>
      <c r="J2" s="1344"/>
      <c r="K2" s="1344"/>
      <c r="L2" s="1344"/>
      <c r="M2" s="1344"/>
      <c r="N2" s="1344"/>
      <c r="P2" s="1344" t="str">
        <f>I2</f>
        <v>KOREKSI KIMO THERMOHYGROMETER 15062873</v>
      </c>
      <c r="Q2" s="1344"/>
      <c r="R2" s="1344"/>
      <c r="S2" s="1344"/>
      <c r="T2" s="1344"/>
      <c r="U2" s="1344"/>
      <c r="W2" s="1338" t="s">
        <v>284</v>
      </c>
      <c r="X2" s="1339"/>
    </row>
    <row r="3" spans="1:24" x14ac:dyDescent="0.2">
      <c r="A3" s="1345"/>
      <c r="B3" s="1340" t="s">
        <v>285</v>
      </c>
      <c r="C3" s="1340"/>
      <c r="D3" s="1340" t="s">
        <v>286</v>
      </c>
      <c r="E3" s="1340"/>
      <c r="F3" s="1340"/>
      <c r="G3" s="1340" t="s">
        <v>287</v>
      </c>
      <c r="I3" s="1340" t="s">
        <v>288</v>
      </c>
      <c r="J3" s="1340"/>
      <c r="K3" s="1340" t="s">
        <v>286</v>
      </c>
      <c r="L3" s="1340"/>
      <c r="M3" s="1340"/>
      <c r="N3" s="1340" t="s">
        <v>287</v>
      </c>
      <c r="P3" s="1340" t="s">
        <v>289</v>
      </c>
      <c r="Q3" s="1340"/>
      <c r="R3" s="1340" t="s">
        <v>286</v>
      </c>
      <c r="S3" s="1340"/>
      <c r="T3" s="1340"/>
      <c r="U3" s="1340" t="s">
        <v>287</v>
      </c>
      <c r="W3" s="711" t="s">
        <v>285</v>
      </c>
      <c r="X3" s="712">
        <v>0.6</v>
      </c>
    </row>
    <row r="4" spans="1:24" ht="15" x14ac:dyDescent="0.2">
      <c r="A4" s="1345"/>
      <c r="B4" s="1341" t="s">
        <v>532</v>
      </c>
      <c r="C4" s="1341"/>
      <c r="D4" s="887">
        <v>2020</v>
      </c>
      <c r="E4" s="887">
        <v>2017</v>
      </c>
      <c r="F4" s="888" t="s">
        <v>291</v>
      </c>
      <c r="G4" s="1340"/>
      <c r="I4" s="1342" t="s">
        <v>22</v>
      </c>
      <c r="J4" s="1341"/>
      <c r="K4" s="887">
        <f>D4</f>
        <v>2020</v>
      </c>
      <c r="L4" s="887">
        <f>E4</f>
        <v>2017</v>
      </c>
      <c r="M4" s="887" t="str">
        <f>F4</f>
        <v>-</v>
      </c>
      <c r="N4" s="1340"/>
      <c r="P4" s="1342" t="s">
        <v>290</v>
      </c>
      <c r="Q4" s="1341"/>
      <c r="R4" s="887">
        <f>K4</f>
        <v>2020</v>
      </c>
      <c r="S4" s="887">
        <f>L4</f>
        <v>2017</v>
      </c>
      <c r="T4" s="887" t="str">
        <f>M4</f>
        <v>-</v>
      </c>
      <c r="U4" s="1340"/>
      <c r="W4" s="711" t="s">
        <v>22</v>
      </c>
      <c r="X4" s="712">
        <v>3.1</v>
      </c>
    </row>
    <row r="5" spans="1:24" ht="13.5" thickBot="1" x14ac:dyDescent="0.25">
      <c r="A5" s="1345"/>
      <c r="B5" s="453">
        <v>1</v>
      </c>
      <c r="C5" s="575">
        <v>15</v>
      </c>
      <c r="D5" s="575">
        <v>-0.5</v>
      </c>
      <c r="E5" s="575">
        <v>0.3</v>
      </c>
      <c r="F5" s="576" t="s">
        <v>291</v>
      </c>
      <c r="G5" s="782">
        <f>0.5*(MAX(D5:F5)-MIN(D5:F5))</f>
        <v>0.4</v>
      </c>
      <c r="I5" s="453">
        <v>1</v>
      </c>
      <c r="J5" s="575">
        <v>35</v>
      </c>
      <c r="K5" s="575">
        <v>-6</v>
      </c>
      <c r="L5" s="575">
        <v>-9.4</v>
      </c>
      <c r="M5" s="576" t="s">
        <v>291</v>
      </c>
      <c r="N5" s="782">
        <f>0.5*(MAX(K5:M5)-MIN(K5:M5))</f>
        <v>1.7000000000000002</v>
      </c>
      <c r="P5" s="453">
        <v>1</v>
      </c>
      <c r="Q5" s="575">
        <v>750</v>
      </c>
      <c r="R5" s="576" t="s">
        <v>291</v>
      </c>
      <c r="S5" s="576" t="s">
        <v>291</v>
      </c>
      <c r="T5" s="576" t="s">
        <v>291</v>
      </c>
      <c r="U5" s="782">
        <f>0.5*(MAX(R5:T5)-MIN(R5:T5))</f>
        <v>0</v>
      </c>
      <c r="W5" s="713" t="s">
        <v>290</v>
      </c>
      <c r="X5" s="714">
        <v>0</v>
      </c>
    </row>
    <row r="6" spans="1:24" x14ac:dyDescent="0.2">
      <c r="A6" s="1345"/>
      <c r="B6" s="453">
        <v>2</v>
      </c>
      <c r="C6" s="575">
        <v>20</v>
      </c>
      <c r="D6" s="575">
        <v>-0.2</v>
      </c>
      <c r="E6" s="575">
        <v>0.2</v>
      </c>
      <c r="F6" s="576" t="s">
        <v>291</v>
      </c>
      <c r="G6" s="782">
        <f t="shared" ref="G6:G11" si="0">0.5*(MAX(D6:F6)-MIN(D6:F6))</f>
        <v>0.2</v>
      </c>
      <c r="I6" s="453">
        <v>2</v>
      </c>
      <c r="J6" s="575">
        <v>40</v>
      </c>
      <c r="K6" s="575">
        <v>-6</v>
      </c>
      <c r="L6" s="575">
        <v>-8.6</v>
      </c>
      <c r="M6" s="576" t="s">
        <v>291</v>
      </c>
      <c r="N6" s="782">
        <f t="shared" ref="N6:N11" si="1">0.5*(MAX(K6:M6)-MIN(K6:M6))</f>
        <v>1.2999999999999998</v>
      </c>
      <c r="P6" s="453">
        <v>2</v>
      </c>
      <c r="Q6" s="575">
        <v>800</v>
      </c>
      <c r="R6" s="576" t="s">
        <v>291</v>
      </c>
      <c r="S6" s="576" t="s">
        <v>291</v>
      </c>
      <c r="T6" s="576" t="s">
        <v>291</v>
      </c>
      <c r="U6" s="782">
        <f t="shared" ref="U6:U11" si="2">0.5*(MAX(R6:T6)-MIN(R6:T6))</f>
        <v>0</v>
      </c>
    </row>
    <row r="7" spans="1:24" x14ac:dyDescent="0.2">
      <c r="A7" s="1345"/>
      <c r="B7" s="453">
        <v>3</v>
      </c>
      <c r="C7" s="575">
        <v>25</v>
      </c>
      <c r="D7" s="575">
        <v>9.9999999999999995E-7</v>
      </c>
      <c r="E7" s="575">
        <v>0.1</v>
      </c>
      <c r="F7" s="576" t="s">
        <v>291</v>
      </c>
      <c r="G7" s="782">
        <f t="shared" si="0"/>
        <v>4.9999500000000002E-2</v>
      </c>
      <c r="I7" s="453">
        <v>3</v>
      </c>
      <c r="J7" s="575">
        <v>50</v>
      </c>
      <c r="K7" s="575">
        <v>-5.8</v>
      </c>
      <c r="L7" s="575">
        <v>-7.2</v>
      </c>
      <c r="M7" s="576" t="s">
        <v>291</v>
      </c>
      <c r="N7" s="782">
        <f t="shared" si="1"/>
        <v>0.70000000000000018</v>
      </c>
      <c r="P7" s="453">
        <v>3</v>
      </c>
      <c r="Q7" s="575">
        <v>850</v>
      </c>
      <c r="R7" s="576" t="s">
        <v>291</v>
      </c>
      <c r="S7" s="576" t="s">
        <v>291</v>
      </c>
      <c r="T7" s="576" t="s">
        <v>291</v>
      </c>
      <c r="U7" s="782">
        <f t="shared" si="2"/>
        <v>0</v>
      </c>
    </row>
    <row r="8" spans="1:24" x14ac:dyDescent="0.2">
      <c r="A8" s="1345"/>
      <c r="B8" s="453">
        <v>4</v>
      </c>
      <c r="C8" s="580">
        <v>30</v>
      </c>
      <c r="D8" s="577">
        <v>9.9999999999999995E-7</v>
      </c>
      <c r="E8" s="577">
        <v>-0.2</v>
      </c>
      <c r="F8" s="576" t="s">
        <v>291</v>
      </c>
      <c r="G8" s="782">
        <f t="shared" si="0"/>
        <v>0.10000050000000001</v>
      </c>
      <c r="I8" s="453">
        <v>4</v>
      </c>
      <c r="J8" s="580">
        <v>60</v>
      </c>
      <c r="K8" s="577">
        <v>-5.3</v>
      </c>
      <c r="L8" s="577">
        <v>-5.2</v>
      </c>
      <c r="M8" s="576" t="s">
        <v>291</v>
      </c>
      <c r="N8" s="782">
        <f t="shared" si="1"/>
        <v>4.9999999999999822E-2</v>
      </c>
      <c r="P8" s="453">
        <v>4</v>
      </c>
      <c r="Q8" s="580">
        <v>900</v>
      </c>
      <c r="R8" s="577" t="s">
        <v>291</v>
      </c>
      <c r="S8" s="576" t="s">
        <v>291</v>
      </c>
      <c r="T8" s="576" t="s">
        <v>291</v>
      </c>
      <c r="U8" s="782">
        <f t="shared" si="2"/>
        <v>0</v>
      </c>
    </row>
    <row r="9" spans="1:24" x14ac:dyDescent="0.2">
      <c r="A9" s="1345"/>
      <c r="B9" s="453">
        <v>5</v>
      </c>
      <c r="C9" s="580">
        <v>35</v>
      </c>
      <c r="D9" s="577">
        <v>-0.1</v>
      </c>
      <c r="E9" s="577">
        <v>-0.5</v>
      </c>
      <c r="F9" s="576" t="s">
        <v>291</v>
      </c>
      <c r="G9" s="782">
        <f t="shared" si="0"/>
        <v>0.2</v>
      </c>
      <c r="I9" s="453">
        <v>5</v>
      </c>
      <c r="J9" s="580">
        <v>70</v>
      </c>
      <c r="K9" s="577">
        <v>-4.4000000000000004</v>
      </c>
      <c r="L9" s="577">
        <v>-2.6</v>
      </c>
      <c r="M9" s="576" t="s">
        <v>291</v>
      </c>
      <c r="N9" s="782">
        <f t="shared" si="1"/>
        <v>0.90000000000000013</v>
      </c>
      <c r="P9" s="453">
        <v>5</v>
      </c>
      <c r="Q9" s="580">
        <v>1000</v>
      </c>
      <c r="R9" s="577" t="s">
        <v>291</v>
      </c>
      <c r="S9" s="576" t="s">
        <v>291</v>
      </c>
      <c r="T9" s="576" t="s">
        <v>291</v>
      </c>
      <c r="U9" s="782">
        <f t="shared" si="2"/>
        <v>0</v>
      </c>
    </row>
    <row r="10" spans="1:24" x14ac:dyDescent="0.2">
      <c r="A10" s="1345"/>
      <c r="B10" s="453">
        <v>6</v>
      </c>
      <c r="C10" s="580">
        <v>37</v>
      </c>
      <c r="D10" s="577">
        <v>-0.2</v>
      </c>
      <c r="E10" s="577">
        <v>-0.6</v>
      </c>
      <c r="F10" s="576" t="s">
        <v>291</v>
      </c>
      <c r="G10" s="782">
        <f t="shared" si="0"/>
        <v>0.19999999999999998</v>
      </c>
      <c r="I10" s="453">
        <v>6</v>
      </c>
      <c r="J10" s="580">
        <v>80</v>
      </c>
      <c r="K10" s="577">
        <v>-3.2</v>
      </c>
      <c r="L10" s="577">
        <v>0.7</v>
      </c>
      <c r="M10" s="576" t="s">
        <v>291</v>
      </c>
      <c r="N10" s="782">
        <f t="shared" si="1"/>
        <v>1.9500000000000002</v>
      </c>
      <c r="P10" s="453">
        <v>6</v>
      </c>
      <c r="Q10" s="580">
        <v>1005</v>
      </c>
      <c r="R10" s="577" t="s">
        <v>291</v>
      </c>
      <c r="S10" s="576" t="s">
        <v>291</v>
      </c>
      <c r="T10" s="576" t="s">
        <v>291</v>
      </c>
      <c r="U10" s="782">
        <f t="shared" si="2"/>
        <v>0</v>
      </c>
    </row>
    <row r="11" spans="1:24" ht="13.5" thickBot="1" x14ac:dyDescent="0.25">
      <c r="A11" s="1345"/>
      <c r="B11" s="453">
        <v>7</v>
      </c>
      <c r="C11" s="580">
        <v>40</v>
      </c>
      <c r="D11" s="577">
        <v>-0.3</v>
      </c>
      <c r="E11" s="577">
        <v>-0.8</v>
      </c>
      <c r="F11" s="576" t="s">
        <v>291</v>
      </c>
      <c r="G11" s="782">
        <f t="shared" si="0"/>
        <v>0.25</v>
      </c>
      <c r="I11" s="453">
        <v>7</v>
      </c>
      <c r="J11" s="580">
        <v>90</v>
      </c>
      <c r="K11" s="577">
        <v>-1.6</v>
      </c>
      <c r="L11" s="577">
        <v>4.5</v>
      </c>
      <c r="M11" s="576" t="s">
        <v>291</v>
      </c>
      <c r="N11" s="782">
        <f t="shared" si="1"/>
        <v>3.05</v>
      </c>
      <c r="P11" s="453">
        <v>7</v>
      </c>
      <c r="Q11" s="580">
        <v>1020</v>
      </c>
      <c r="R11" s="577" t="s">
        <v>291</v>
      </c>
      <c r="S11" s="576" t="s">
        <v>291</v>
      </c>
      <c r="T11" s="576" t="s">
        <v>291</v>
      </c>
      <c r="U11" s="782">
        <f t="shared" si="2"/>
        <v>0</v>
      </c>
    </row>
    <row r="12" spans="1:24" ht="13.5" thickBot="1" x14ac:dyDescent="0.25">
      <c r="A12" s="715"/>
      <c r="B12" s="568"/>
      <c r="O12" s="716"/>
      <c r="P12" s="529"/>
    </row>
    <row r="13" spans="1:24" x14ac:dyDescent="0.2">
      <c r="A13" s="1345">
        <v>2</v>
      </c>
      <c r="B13" s="1344" t="s">
        <v>292</v>
      </c>
      <c r="C13" s="1344"/>
      <c r="D13" s="1344"/>
      <c r="E13" s="1344"/>
      <c r="F13" s="1344"/>
      <c r="G13" s="1344"/>
      <c r="I13" s="1344" t="str">
        <f>B13</f>
        <v>KOREKSI KIMO THERMOHYGROMETER 15062874</v>
      </c>
      <c r="J13" s="1344"/>
      <c r="K13" s="1344"/>
      <c r="L13" s="1344"/>
      <c r="M13" s="1344"/>
      <c r="N13" s="1344"/>
      <c r="P13" s="1344" t="str">
        <f>I13</f>
        <v>KOREKSI KIMO THERMOHYGROMETER 15062874</v>
      </c>
      <c r="Q13" s="1344"/>
      <c r="R13" s="1344"/>
      <c r="S13" s="1344"/>
      <c r="T13" s="1344"/>
      <c r="U13" s="1344"/>
      <c r="W13" s="1338" t="s">
        <v>284</v>
      </c>
      <c r="X13" s="1339"/>
    </row>
    <row r="14" spans="1:24" x14ac:dyDescent="0.2">
      <c r="A14" s="1345"/>
      <c r="B14" s="1340" t="s">
        <v>285</v>
      </c>
      <c r="C14" s="1340"/>
      <c r="D14" s="1340" t="s">
        <v>286</v>
      </c>
      <c r="E14" s="1340"/>
      <c r="F14" s="1340"/>
      <c r="G14" s="1340" t="s">
        <v>287</v>
      </c>
      <c r="I14" s="1340" t="s">
        <v>288</v>
      </c>
      <c r="J14" s="1340"/>
      <c r="K14" s="1340" t="s">
        <v>286</v>
      </c>
      <c r="L14" s="1340"/>
      <c r="M14" s="1340"/>
      <c r="N14" s="1340" t="s">
        <v>287</v>
      </c>
      <c r="P14" s="1340" t="s">
        <v>289</v>
      </c>
      <c r="Q14" s="1340"/>
      <c r="R14" s="1340" t="s">
        <v>286</v>
      </c>
      <c r="S14" s="1340"/>
      <c r="T14" s="1340"/>
      <c r="U14" s="1340" t="s">
        <v>287</v>
      </c>
      <c r="W14" s="711" t="s">
        <v>285</v>
      </c>
      <c r="X14" s="712">
        <v>0.8</v>
      </c>
    </row>
    <row r="15" spans="1:24" ht="15" x14ac:dyDescent="0.2">
      <c r="A15" s="1345"/>
      <c r="B15" s="1341" t="s">
        <v>532</v>
      </c>
      <c r="C15" s="1341"/>
      <c r="D15" s="887">
        <v>2021</v>
      </c>
      <c r="E15" s="887">
        <v>2018</v>
      </c>
      <c r="F15" s="888" t="s">
        <v>291</v>
      </c>
      <c r="G15" s="1340"/>
      <c r="I15" s="1342" t="s">
        <v>22</v>
      </c>
      <c r="J15" s="1341"/>
      <c r="K15" s="887">
        <f>D15</f>
        <v>2021</v>
      </c>
      <c r="L15" s="887">
        <f>E15</f>
        <v>2018</v>
      </c>
      <c r="M15" s="887" t="str">
        <f>F15</f>
        <v>-</v>
      </c>
      <c r="N15" s="1340"/>
      <c r="P15" s="1342" t="s">
        <v>290</v>
      </c>
      <c r="Q15" s="1341"/>
      <c r="R15" s="887">
        <f>K15</f>
        <v>2021</v>
      </c>
      <c r="S15" s="887">
        <f>L15</f>
        <v>2018</v>
      </c>
      <c r="T15" s="887" t="str">
        <f>M15</f>
        <v>-</v>
      </c>
      <c r="U15" s="1340"/>
      <c r="W15" s="711" t="s">
        <v>22</v>
      </c>
      <c r="X15" s="712">
        <v>2.2000000000000002</v>
      </c>
    </row>
    <row r="16" spans="1:24" ht="13.5" thickBot="1" x14ac:dyDescent="0.25">
      <c r="A16" s="1345"/>
      <c r="B16" s="453">
        <v>1</v>
      </c>
      <c r="C16" s="575">
        <v>15</v>
      </c>
      <c r="D16" s="575">
        <v>0.4</v>
      </c>
      <c r="E16" s="575">
        <v>9.9999999999999995E-7</v>
      </c>
      <c r="F16" s="576" t="s">
        <v>291</v>
      </c>
      <c r="G16" s="782">
        <f>0.5*(MAX(D16:F16)-MIN(D16:F16))</f>
        <v>0.19999950000000002</v>
      </c>
      <c r="I16" s="453">
        <v>1</v>
      </c>
      <c r="J16" s="575">
        <v>35</v>
      </c>
      <c r="K16" s="575">
        <v>-6.9</v>
      </c>
      <c r="L16" s="575">
        <v>-1.6</v>
      </c>
      <c r="M16" s="576" t="s">
        <v>291</v>
      </c>
      <c r="N16" s="782">
        <f>0.5*(MAX(K16:M16)-MIN(K16:M16))</f>
        <v>2.6500000000000004</v>
      </c>
      <c r="P16" s="453">
        <v>1</v>
      </c>
      <c r="Q16" s="575">
        <v>750</v>
      </c>
      <c r="R16" s="576" t="s">
        <v>291</v>
      </c>
      <c r="S16" s="576" t="s">
        <v>291</v>
      </c>
      <c r="T16" s="576" t="s">
        <v>291</v>
      </c>
      <c r="U16" s="782">
        <f>0.5*(MAX(R16:T16)-MIN(R16:T16))</f>
        <v>0</v>
      </c>
      <c r="W16" s="713" t="s">
        <v>290</v>
      </c>
      <c r="X16" s="714">
        <v>0</v>
      </c>
    </row>
    <row r="17" spans="1:24" x14ac:dyDescent="0.2">
      <c r="A17" s="1345"/>
      <c r="B17" s="453">
        <v>2</v>
      </c>
      <c r="C17" s="575">
        <v>20</v>
      </c>
      <c r="D17" s="575">
        <v>0.7</v>
      </c>
      <c r="E17" s="575">
        <v>-0.1</v>
      </c>
      <c r="F17" s="576" t="s">
        <v>291</v>
      </c>
      <c r="G17" s="782">
        <f t="shared" ref="G17:G22" si="3">0.5*(MAX(D17:F17)-MIN(D17:F17))</f>
        <v>0.39999999999999997</v>
      </c>
      <c r="I17" s="453">
        <v>2</v>
      </c>
      <c r="J17" s="575">
        <v>40</v>
      </c>
      <c r="K17" s="575">
        <v>-6.2</v>
      </c>
      <c r="L17" s="575">
        <v>-1.6</v>
      </c>
      <c r="M17" s="576" t="s">
        <v>291</v>
      </c>
      <c r="N17" s="782">
        <f t="shared" ref="N17:N22" si="4">0.5*(MAX(K17:M17)-MIN(K17:M17))</f>
        <v>2.2999999999999998</v>
      </c>
      <c r="P17" s="453">
        <v>2</v>
      </c>
      <c r="Q17" s="575">
        <v>800</v>
      </c>
      <c r="R17" s="576" t="s">
        <v>291</v>
      </c>
      <c r="S17" s="576" t="s">
        <v>291</v>
      </c>
      <c r="T17" s="576" t="s">
        <v>291</v>
      </c>
      <c r="U17" s="782">
        <f t="shared" ref="U17:U22" si="5">0.5*(MAX(R17:T17)-MIN(R17:T17))</f>
        <v>0</v>
      </c>
    </row>
    <row r="18" spans="1:24" x14ac:dyDescent="0.2">
      <c r="A18" s="1345"/>
      <c r="B18" s="453">
        <v>3</v>
      </c>
      <c r="C18" s="575">
        <v>25</v>
      </c>
      <c r="D18" s="575">
        <v>0.5</v>
      </c>
      <c r="E18" s="575">
        <v>-0.2</v>
      </c>
      <c r="F18" s="576" t="s">
        <v>291</v>
      </c>
      <c r="G18" s="782">
        <f t="shared" si="3"/>
        <v>0.35</v>
      </c>
      <c r="I18" s="453">
        <v>3</v>
      </c>
      <c r="J18" s="575">
        <v>50</v>
      </c>
      <c r="K18" s="575">
        <v>-5.3</v>
      </c>
      <c r="L18" s="575">
        <v>-1.5</v>
      </c>
      <c r="M18" s="576" t="s">
        <v>291</v>
      </c>
      <c r="N18" s="782">
        <f t="shared" si="4"/>
        <v>1.9</v>
      </c>
      <c r="P18" s="453">
        <v>3</v>
      </c>
      <c r="Q18" s="575">
        <v>850</v>
      </c>
      <c r="R18" s="576" t="s">
        <v>291</v>
      </c>
      <c r="S18" s="576" t="s">
        <v>291</v>
      </c>
      <c r="T18" s="576" t="s">
        <v>291</v>
      </c>
      <c r="U18" s="782">
        <f t="shared" si="5"/>
        <v>0</v>
      </c>
    </row>
    <row r="19" spans="1:24" x14ac:dyDescent="0.2">
      <c r="A19" s="1345"/>
      <c r="B19" s="453">
        <v>4</v>
      </c>
      <c r="C19" s="580">
        <v>30</v>
      </c>
      <c r="D19" s="577">
        <v>0.2</v>
      </c>
      <c r="E19" s="577">
        <v>-0.3</v>
      </c>
      <c r="F19" s="576" t="s">
        <v>291</v>
      </c>
      <c r="G19" s="782">
        <f t="shared" si="3"/>
        <v>0.25</v>
      </c>
      <c r="I19" s="453">
        <v>4</v>
      </c>
      <c r="J19" s="580">
        <v>60</v>
      </c>
      <c r="K19" s="577">
        <v>-4</v>
      </c>
      <c r="L19" s="577">
        <v>-1.3</v>
      </c>
      <c r="M19" s="576" t="s">
        <v>291</v>
      </c>
      <c r="N19" s="782">
        <f t="shared" si="4"/>
        <v>1.35</v>
      </c>
      <c r="P19" s="453">
        <v>4</v>
      </c>
      <c r="Q19" s="580">
        <v>900</v>
      </c>
      <c r="R19" s="577" t="s">
        <v>291</v>
      </c>
      <c r="S19" s="577" t="s">
        <v>291</v>
      </c>
      <c r="T19" s="576" t="s">
        <v>291</v>
      </c>
      <c r="U19" s="782">
        <f t="shared" si="5"/>
        <v>0</v>
      </c>
    </row>
    <row r="20" spans="1:24" x14ac:dyDescent="0.2">
      <c r="A20" s="1345"/>
      <c r="B20" s="453">
        <v>5</v>
      </c>
      <c r="C20" s="580">
        <v>35</v>
      </c>
      <c r="D20" s="577">
        <v>-0.1</v>
      </c>
      <c r="E20" s="577">
        <v>-0.3</v>
      </c>
      <c r="F20" s="576" t="s">
        <v>291</v>
      </c>
      <c r="G20" s="782">
        <f t="shared" si="3"/>
        <v>9.9999999999999992E-2</v>
      </c>
      <c r="I20" s="453">
        <v>5</v>
      </c>
      <c r="J20" s="580">
        <v>70</v>
      </c>
      <c r="K20" s="577">
        <v>-2.4</v>
      </c>
      <c r="L20" s="577">
        <v>-1.1000000000000001</v>
      </c>
      <c r="M20" s="576" t="s">
        <v>291</v>
      </c>
      <c r="N20" s="782">
        <f t="shared" si="4"/>
        <v>0.64999999999999991</v>
      </c>
      <c r="P20" s="453">
        <v>5</v>
      </c>
      <c r="Q20" s="580">
        <v>1000</v>
      </c>
      <c r="R20" s="577" t="s">
        <v>291</v>
      </c>
      <c r="S20" s="577" t="s">
        <v>291</v>
      </c>
      <c r="T20" s="576" t="s">
        <v>291</v>
      </c>
      <c r="U20" s="782">
        <f t="shared" si="5"/>
        <v>0</v>
      </c>
    </row>
    <row r="21" spans="1:24" x14ac:dyDescent="0.2">
      <c r="A21" s="1345"/>
      <c r="B21" s="453">
        <v>6</v>
      </c>
      <c r="C21" s="580">
        <v>37</v>
      </c>
      <c r="D21" s="577">
        <v>-0.2</v>
      </c>
      <c r="E21" s="577">
        <v>-0.3</v>
      </c>
      <c r="F21" s="576" t="s">
        <v>291</v>
      </c>
      <c r="G21" s="782">
        <f t="shared" si="3"/>
        <v>4.9999999999999989E-2</v>
      </c>
      <c r="I21" s="453">
        <v>6</v>
      </c>
      <c r="J21" s="580">
        <v>80</v>
      </c>
      <c r="K21" s="577">
        <v>-0.5</v>
      </c>
      <c r="L21" s="577">
        <v>-0.7</v>
      </c>
      <c r="M21" s="576" t="s">
        <v>291</v>
      </c>
      <c r="N21" s="782">
        <f t="shared" si="4"/>
        <v>9.9999999999999978E-2</v>
      </c>
      <c r="P21" s="453">
        <v>6</v>
      </c>
      <c r="Q21" s="580">
        <v>1005</v>
      </c>
      <c r="R21" s="577" t="s">
        <v>291</v>
      </c>
      <c r="S21" s="577" t="s">
        <v>291</v>
      </c>
      <c r="T21" s="576" t="s">
        <v>291</v>
      </c>
      <c r="U21" s="782">
        <f t="shared" si="5"/>
        <v>0</v>
      </c>
    </row>
    <row r="22" spans="1:24" ht="13.5" thickBot="1" x14ac:dyDescent="0.25">
      <c r="A22" s="1345"/>
      <c r="B22" s="453">
        <v>7</v>
      </c>
      <c r="C22" s="580">
        <v>40</v>
      </c>
      <c r="D22" s="577">
        <v>-0.1</v>
      </c>
      <c r="E22" s="577">
        <v>-0.3</v>
      </c>
      <c r="F22" s="576" t="s">
        <v>291</v>
      </c>
      <c r="G22" s="782">
        <f t="shared" si="3"/>
        <v>9.9999999999999992E-2</v>
      </c>
      <c r="I22" s="453">
        <v>7</v>
      </c>
      <c r="J22" s="580">
        <v>90</v>
      </c>
      <c r="K22" s="577">
        <v>1.7</v>
      </c>
      <c r="L22" s="577">
        <v>-0.3</v>
      </c>
      <c r="M22" s="576" t="s">
        <v>291</v>
      </c>
      <c r="N22" s="782">
        <f t="shared" si="4"/>
        <v>1</v>
      </c>
      <c r="P22" s="453">
        <v>7</v>
      </c>
      <c r="Q22" s="580">
        <v>1020</v>
      </c>
      <c r="R22" s="577" t="s">
        <v>291</v>
      </c>
      <c r="S22" s="577" t="s">
        <v>291</v>
      </c>
      <c r="T22" s="576" t="s">
        <v>291</v>
      </c>
      <c r="U22" s="782">
        <f t="shared" si="5"/>
        <v>0</v>
      </c>
    </row>
    <row r="23" spans="1:24" ht="13.5" thickBot="1" x14ac:dyDescent="0.25">
      <c r="A23" s="715"/>
      <c r="B23" s="568"/>
      <c r="O23" s="716"/>
      <c r="P23" s="529"/>
    </row>
    <row r="24" spans="1:24" x14ac:dyDescent="0.2">
      <c r="A24" s="1348">
        <v>3</v>
      </c>
      <c r="B24" s="1344" t="s">
        <v>293</v>
      </c>
      <c r="C24" s="1344"/>
      <c r="D24" s="1344"/>
      <c r="E24" s="1344"/>
      <c r="F24" s="1344"/>
      <c r="G24" s="1344"/>
      <c r="I24" s="1344" t="str">
        <f>B24</f>
        <v>KOREKSI KIMO THERMOHYGROMETER 14082463</v>
      </c>
      <c r="J24" s="1344"/>
      <c r="K24" s="1344"/>
      <c r="L24" s="1344"/>
      <c r="M24" s="1344"/>
      <c r="N24" s="1344"/>
      <c r="P24" s="1344" t="str">
        <f>I24</f>
        <v>KOREKSI KIMO THERMOHYGROMETER 14082463</v>
      </c>
      <c r="Q24" s="1344"/>
      <c r="R24" s="1344"/>
      <c r="S24" s="1344"/>
      <c r="T24" s="1344"/>
      <c r="U24" s="1344"/>
      <c r="W24" s="1338" t="s">
        <v>284</v>
      </c>
      <c r="X24" s="1339"/>
    </row>
    <row r="25" spans="1:24" x14ac:dyDescent="0.2">
      <c r="A25" s="1349"/>
      <c r="B25" s="1340" t="s">
        <v>285</v>
      </c>
      <c r="C25" s="1340"/>
      <c r="D25" s="1340" t="s">
        <v>286</v>
      </c>
      <c r="E25" s="1340"/>
      <c r="F25" s="1340"/>
      <c r="G25" s="1340" t="s">
        <v>287</v>
      </c>
      <c r="I25" s="1340" t="s">
        <v>288</v>
      </c>
      <c r="J25" s="1340"/>
      <c r="K25" s="1340" t="s">
        <v>286</v>
      </c>
      <c r="L25" s="1340"/>
      <c r="M25" s="1340"/>
      <c r="N25" s="1340" t="s">
        <v>287</v>
      </c>
      <c r="P25" s="1340" t="s">
        <v>289</v>
      </c>
      <c r="Q25" s="1340"/>
      <c r="R25" s="1340" t="s">
        <v>286</v>
      </c>
      <c r="S25" s="1340"/>
      <c r="T25" s="1340"/>
      <c r="U25" s="1340" t="s">
        <v>287</v>
      </c>
      <c r="W25" s="711" t="s">
        <v>285</v>
      </c>
      <c r="X25" s="712">
        <v>0.5</v>
      </c>
    </row>
    <row r="26" spans="1:24" ht="15" x14ac:dyDescent="0.2">
      <c r="A26" s="1349"/>
      <c r="B26" s="1341" t="s">
        <v>532</v>
      </c>
      <c r="C26" s="1341"/>
      <c r="D26" s="887">
        <v>2021</v>
      </c>
      <c r="E26" s="887">
        <v>2018</v>
      </c>
      <c r="F26" s="888" t="s">
        <v>291</v>
      </c>
      <c r="G26" s="1340"/>
      <c r="I26" s="1342" t="s">
        <v>22</v>
      </c>
      <c r="J26" s="1341"/>
      <c r="K26" s="887">
        <f>D26</f>
        <v>2021</v>
      </c>
      <c r="L26" s="887">
        <f>E26</f>
        <v>2018</v>
      </c>
      <c r="M26" s="887" t="str">
        <f>F26</f>
        <v>-</v>
      </c>
      <c r="N26" s="1340"/>
      <c r="P26" s="1342" t="s">
        <v>290</v>
      </c>
      <c r="Q26" s="1341"/>
      <c r="R26" s="887">
        <f>K26</f>
        <v>2021</v>
      </c>
      <c r="S26" s="887">
        <f>L26</f>
        <v>2018</v>
      </c>
      <c r="T26" s="887" t="str">
        <f>M26</f>
        <v>-</v>
      </c>
      <c r="U26" s="1340"/>
      <c r="W26" s="711" t="s">
        <v>22</v>
      </c>
      <c r="X26" s="712">
        <v>3.1</v>
      </c>
    </row>
    <row r="27" spans="1:24" ht="13.5" thickBot="1" x14ac:dyDescent="0.25">
      <c r="A27" s="1349"/>
      <c r="B27" s="453">
        <v>1</v>
      </c>
      <c r="C27" s="575">
        <v>15</v>
      </c>
      <c r="D27" s="575">
        <v>0.4</v>
      </c>
      <c r="E27" s="575">
        <v>9.9999999999999995E-7</v>
      </c>
      <c r="F27" s="576" t="s">
        <v>291</v>
      </c>
      <c r="G27" s="782">
        <f>0.5*(MAX(D27:F27)-MIN(D27:F27))</f>
        <v>0.19999950000000002</v>
      </c>
      <c r="I27" s="453">
        <v>1</v>
      </c>
      <c r="J27" s="575">
        <v>30</v>
      </c>
      <c r="K27" s="575">
        <v>-7.3</v>
      </c>
      <c r="L27" s="575">
        <v>-5.7</v>
      </c>
      <c r="M27" s="576" t="s">
        <v>291</v>
      </c>
      <c r="N27" s="782">
        <f>0.5*(MAX(K27:M27)-MIN(K27:M27))</f>
        <v>0.79999999999999982</v>
      </c>
      <c r="P27" s="453">
        <v>1</v>
      </c>
      <c r="Q27" s="575">
        <v>750</v>
      </c>
      <c r="R27" s="576" t="s">
        <v>291</v>
      </c>
      <c r="S27" s="576" t="s">
        <v>291</v>
      </c>
      <c r="T27" s="576" t="s">
        <v>291</v>
      </c>
      <c r="U27" s="782">
        <f>0.5*(MAX(R27:T27)-MIN(R27:S27))</f>
        <v>0</v>
      </c>
      <c r="W27" s="713" t="s">
        <v>290</v>
      </c>
      <c r="X27" s="714">
        <v>0</v>
      </c>
    </row>
    <row r="28" spans="1:24" x14ac:dyDescent="0.2">
      <c r="A28" s="1349"/>
      <c r="B28" s="453">
        <v>2</v>
      </c>
      <c r="C28" s="575">
        <v>20</v>
      </c>
      <c r="D28" s="575">
        <v>1</v>
      </c>
      <c r="E28" s="575">
        <v>9.9999999999999995E-7</v>
      </c>
      <c r="F28" s="576" t="s">
        <v>291</v>
      </c>
      <c r="G28" s="782">
        <f t="shared" ref="G28:G33" si="6">0.5*(MAX(D28:F28)-MIN(D28:F28))</f>
        <v>0.49999949999999999</v>
      </c>
      <c r="I28" s="453">
        <v>2</v>
      </c>
      <c r="J28" s="575">
        <v>40</v>
      </c>
      <c r="K28" s="575">
        <v>-5.9</v>
      </c>
      <c r="L28" s="575">
        <v>-5.3</v>
      </c>
      <c r="M28" s="576" t="s">
        <v>291</v>
      </c>
      <c r="N28" s="782">
        <f t="shared" ref="N28:N33" si="7">0.5*(MAX(K28:M28)-MIN(K28:M28))</f>
        <v>0.30000000000000027</v>
      </c>
      <c r="P28" s="453">
        <v>2</v>
      </c>
      <c r="Q28" s="575">
        <v>800</v>
      </c>
      <c r="R28" s="576" t="s">
        <v>291</v>
      </c>
      <c r="S28" s="576" t="s">
        <v>291</v>
      </c>
      <c r="T28" s="576" t="s">
        <v>291</v>
      </c>
      <c r="U28" s="782">
        <f t="shared" ref="U28:U33" si="8">0.5*(MAX(R28:T28)-MIN(R28:S28))</f>
        <v>0</v>
      </c>
    </row>
    <row r="29" spans="1:24" x14ac:dyDescent="0.2">
      <c r="A29" s="1349"/>
      <c r="B29" s="453">
        <v>3</v>
      </c>
      <c r="C29" s="575">
        <v>25</v>
      </c>
      <c r="D29" s="575">
        <v>0.7</v>
      </c>
      <c r="E29" s="575">
        <v>-0.1</v>
      </c>
      <c r="F29" s="576" t="s">
        <v>291</v>
      </c>
      <c r="G29" s="782">
        <f t="shared" si="6"/>
        <v>0.39999999999999997</v>
      </c>
      <c r="I29" s="453">
        <v>3</v>
      </c>
      <c r="J29" s="575">
        <v>50</v>
      </c>
      <c r="K29" s="575">
        <v>-4.5</v>
      </c>
      <c r="L29" s="575">
        <v>-4.9000000000000004</v>
      </c>
      <c r="M29" s="576" t="s">
        <v>291</v>
      </c>
      <c r="N29" s="782">
        <f t="shared" si="7"/>
        <v>0.20000000000000018</v>
      </c>
      <c r="P29" s="453">
        <v>3</v>
      </c>
      <c r="Q29" s="575">
        <v>850</v>
      </c>
      <c r="R29" s="576" t="s">
        <v>291</v>
      </c>
      <c r="S29" s="576" t="s">
        <v>291</v>
      </c>
      <c r="T29" s="576" t="s">
        <v>291</v>
      </c>
      <c r="U29" s="782">
        <f t="shared" si="8"/>
        <v>0</v>
      </c>
    </row>
    <row r="30" spans="1:24" x14ac:dyDescent="0.2">
      <c r="A30" s="1349"/>
      <c r="B30" s="453">
        <v>4</v>
      </c>
      <c r="C30" s="580">
        <v>30</v>
      </c>
      <c r="D30" s="577">
        <v>9.9999999999999995E-7</v>
      </c>
      <c r="E30" s="577">
        <v>-0.3</v>
      </c>
      <c r="F30" s="576" t="s">
        <v>291</v>
      </c>
      <c r="G30" s="782">
        <f t="shared" si="6"/>
        <v>0.15000049999999998</v>
      </c>
      <c r="I30" s="453">
        <v>4</v>
      </c>
      <c r="J30" s="580">
        <v>60</v>
      </c>
      <c r="K30" s="577">
        <v>-3.2</v>
      </c>
      <c r="L30" s="577">
        <v>-4.3</v>
      </c>
      <c r="M30" s="576" t="s">
        <v>291</v>
      </c>
      <c r="N30" s="782">
        <f t="shared" si="7"/>
        <v>0.54999999999999982</v>
      </c>
      <c r="P30" s="453">
        <v>4</v>
      </c>
      <c r="Q30" s="580">
        <v>900</v>
      </c>
      <c r="R30" s="577" t="s">
        <v>291</v>
      </c>
      <c r="S30" s="577" t="s">
        <v>291</v>
      </c>
      <c r="T30" s="576" t="s">
        <v>291</v>
      </c>
      <c r="U30" s="782">
        <f t="shared" si="8"/>
        <v>0</v>
      </c>
    </row>
    <row r="31" spans="1:24" x14ac:dyDescent="0.2">
      <c r="A31" s="1349"/>
      <c r="B31" s="453">
        <v>5</v>
      </c>
      <c r="C31" s="580">
        <v>35</v>
      </c>
      <c r="D31" s="577">
        <v>-0.3</v>
      </c>
      <c r="E31" s="577">
        <v>-0.5</v>
      </c>
      <c r="F31" s="576" t="s">
        <v>291</v>
      </c>
      <c r="G31" s="782">
        <f t="shared" si="6"/>
        <v>0.1</v>
      </c>
      <c r="I31" s="453">
        <v>5</v>
      </c>
      <c r="J31" s="580">
        <v>70</v>
      </c>
      <c r="K31" s="577">
        <v>-2</v>
      </c>
      <c r="L31" s="577">
        <v>-3.6</v>
      </c>
      <c r="M31" s="576" t="s">
        <v>291</v>
      </c>
      <c r="N31" s="782">
        <f t="shared" si="7"/>
        <v>0.8</v>
      </c>
      <c r="P31" s="453">
        <v>5</v>
      </c>
      <c r="Q31" s="580">
        <v>1000</v>
      </c>
      <c r="R31" s="577" t="s">
        <v>291</v>
      </c>
      <c r="S31" s="577" t="s">
        <v>291</v>
      </c>
      <c r="T31" s="576" t="s">
        <v>291</v>
      </c>
      <c r="U31" s="782">
        <f t="shared" si="8"/>
        <v>0</v>
      </c>
    </row>
    <row r="32" spans="1:24" x14ac:dyDescent="0.2">
      <c r="A32" s="1349"/>
      <c r="B32" s="453">
        <v>6</v>
      </c>
      <c r="C32" s="580">
        <v>37</v>
      </c>
      <c r="D32" s="577">
        <v>-0.2</v>
      </c>
      <c r="E32" s="577">
        <v>-0.6</v>
      </c>
      <c r="F32" s="576" t="s">
        <v>291</v>
      </c>
      <c r="G32" s="782">
        <f t="shared" si="6"/>
        <v>0.19999999999999998</v>
      </c>
      <c r="I32" s="453">
        <v>6</v>
      </c>
      <c r="J32" s="580">
        <v>80</v>
      </c>
      <c r="K32" s="577">
        <v>-0.8</v>
      </c>
      <c r="L32" s="577">
        <v>-2.9</v>
      </c>
      <c r="M32" s="576" t="s">
        <v>291</v>
      </c>
      <c r="N32" s="782">
        <f t="shared" si="7"/>
        <v>1.0499999999999998</v>
      </c>
      <c r="P32" s="453">
        <v>6</v>
      </c>
      <c r="Q32" s="580">
        <v>1005</v>
      </c>
      <c r="R32" s="577" t="s">
        <v>291</v>
      </c>
      <c r="S32" s="577" t="s">
        <v>291</v>
      </c>
      <c r="T32" s="576" t="s">
        <v>291</v>
      </c>
      <c r="U32" s="782">
        <f t="shared" si="8"/>
        <v>0</v>
      </c>
    </row>
    <row r="33" spans="1:24" ht="13.5" thickBot="1" x14ac:dyDescent="0.25">
      <c r="A33" s="1350"/>
      <c r="B33" s="453">
        <v>7</v>
      </c>
      <c r="C33" s="580">
        <v>40</v>
      </c>
      <c r="D33" s="577">
        <v>0.2</v>
      </c>
      <c r="E33" s="577">
        <v>-0.7</v>
      </c>
      <c r="F33" s="576" t="s">
        <v>291</v>
      </c>
      <c r="G33" s="782">
        <f t="shared" si="6"/>
        <v>0.44999999999999996</v>
      </c>
      <c r="I33" s="453">
        <v>7</v>
      </c>
      <c r="J33" s="580">
        <v>90</v>
      </c>
      <c r="K33" s="577">
        <v>0.3</v>
      </c>
      <c r="L33" s="577">
        <v>-2</v>
      </c>
      <c r="M33" s="576" t="s">
        <v>291</v>
      </c>
      <c r="N33" s="782">
        <f t="shared" si="7"/>
        <v>1.1499999999999999</v>
      </c>
      <c r="P33" s="453">
        <v>7</v>
      </c>
      <c r="Q33" s="580">
        <v>1020</v>
      </c>
      <c r="R33" s="577" t="s">
        <v>291</v>
      </c>
      <c r="S33" s="577" t="s">
        <v>291</v>
      </c>
      <c r="T33" s="576" t="s">
        <v>291</v>
      </c>
      <c r="U33" s="782">
        <f t="shared" si="8"/>
        <v>0</v>
      </c>
    </row>
    <row r="34" spans="1:24" ht="13.5" thickBot="1" x14ac:dyDescent="0.25">
      <c r="A34" s="715"/>
      <c r="B34" s="568"/>
      <c r="H34" s="438"/>
      <c r="O34" s="716"/>
      <c r="P34" s="529"/>
    </row>
    <row r="35" spans="1:24" x14ac:dyDescent="0.2">
      <c r="A35" s="1348">
        <v>4</v>
      </c>
      <c r="B35" s="1344" t="s">
        <v>294</v>
      </c>
      <c r="C35" s="1344"/>
      <c r="D35" s="1344"/>
      <c r="E35" s="1344"/>
      <c r="F35" s="1344"/>
      <c r="G35" s="1344"/>
      <c r="I35" s="1344" t="str">
        <f>B35</f>
        <v>KOREKSI KIMO THERMOHYGROMETER 15062872</v>
      </c>
      <c r="J35" s="1344"/>
      <c r="K35" s="1344"/>
      <c r="L35" s="1344"/>
      <c r="M35" s="1344"/>
      <c r="N35" s="1344"/>
      <c r="P35" s="1344" t="str">
        <f>I35</f>
        <v>KOREKSI KIMO THERMOHYGROMETER 15062872</v>
      </c>
      <c r="Q35" s="1344"/>
      <c r="R35" s="1344"/>
      <c r="S35" s="1344"/>
      <c r="T35" s="1344"/>
      <c r="U35" s="1344"/>
      <c r="W35" s="1338" t="s">
        <v>284</v>
      </c>
      <c r="X35" s="1339"/>
    </row>
    <row r="36" spans="1:24" x14ac:dyDescent="0.2">
      <c r="A36" s="1349"/>
      <c r="B36" s="1340" t="s">
        <v>285</v>
      </c>
      <c r="C36" s="1340"/>
      <c r="D36" s="1340" t="s">
        <v>286</v>
      </c>
      <c r="E36" s="1340"/>
      <c r="F36" s="1340"/>
      <c r="G36" s="1340" t="s">
        <v>287</v>
      </c>
      <c r="I36" s="1340" t="s">
        <v>288</v>
      </c>
      <c r="J36" s="1340"/>
      <c r="K36" s="1340" t="s">
        <v>286</v>
      </c>
      <c r="L36" s="1340"/>
      <c r="M36" s="1340"/>
      <c r="N36" s="1340" t="s">
        <v>287</v>
      </c>
      <c r="P36" s="1340" t="s">
        <v>289</v>
      </c>
      <c r="Q36" s="1340"/>
      <c r="R36" s="1340" t="s">
        <v>286</v>
      </c>
      <c r="S36" s="1340"/>
      <c r="T36" s="1340"/>
      <c r="U36" s="1340" t="s">
        <v>287</v>
      </c>
      <c r="W36" s="711" t="s">
        <v>285</v>
      </c>
      <c r="X36" s="712">
        <v>0.3</v>
      </c>
    </row>
    <row r="37" spans="1:24" ht="15" x14ac:dyDescent="0.2">
      <c r="A37" s="1349"/>
      <c r="B37" s="1341" t="s">
        <v>532</v>
      </c>
      <c r="C37" s="1341"/>
      <c r="D37" s="887">
        <v>2019</v>
      </c>
      <c r="E37" s="887">
        <v>2017</v>
      </c>
      <c r="F37" s="888" t="s">
        <v>291</v>
      </c>
      <c r="G37" s="1340"/>
      <c r="I37" s="1342" t="s">
        <v>22</v>
      </c>
      <c r="J37" s="1341"/>
      <c r="K37" s="887">
        <f>D37</f>
        <v>2019</v>
      </c>
      <c r="L37" s="887">
        <f>E37</f>
        <v>2017</v>
      </c>
      <c r="M37" s="887" t="str">
        <f>F37</f>
        <v>-</v>
      </c>
      <c r="N37" s="1340"/>
      <c r="P37" s="1342" t="s">
        <v>290</v>
      </c>
      <c r="Q37" s="1341"/>
      <c r="R37" s="887">
        <f>K37</f>
        <v>2019</v>
      </c>
      <c r="S37" s="887">
        <f>L37</f>
        <v>2017</v>
      </c>
      <c r="T37" s="887" t="str">
        <f>M37</f>
        <v>-</v>
      </c>
      <c r="U37" s="1340"/>
      <c r="W37" s="711" t="s">
        <v>22</v>
      </c>
      <c r="X37" s="712">
        <v>1.3</v>
      </c>
    </row>
    <row r="38" spans="1:24" ht="13.5" thickBot="1" x14ac:dyDescent="0.25">
      <c r="A38" s="1349"/>
      <c r="B38" s="453">
        <v>1</v>
      </c>
      <c r="C38" s="575">
        <v>15</v>
      </c>
      <c r="D38" s="575">
        <v>-0.2</v>
      </c>
      <c r="E38" s="575">
        <v>-0.1</v>
      </c>
      <c r="F38" s="576" t="s">
        <v>291</v>
      </c>
      <c r="G38" s="782">
        <f>0.5*(MAX(D38:F38)-MIN(D38:F38))</f>
        <v>0.05</v>
      </c>
      <c r="I38" s="453">
        <v>1</v>
      </c>
      <c r="J38" s="575">
        <v>35</v>
      </c>
      <c r="K38" s="575">
        <v>-4.5</v>
      </c>
      <c r="L38" s="575">
        <v>-1.7</v>
      </c>
      <c r="M38" s="576" t="s">
        <v>291</v>
      </c>
      <c r="N38" s="782">
        <f>0.5*(MAX(K38:M38)-MIN(K38:M38))</f>
        <v>1.4</v>
      </c>
      <c r="P38" s="453">
        <v>1</v>
      </c>
      <c r="Q38" s="575">
        <v>750</v>
      </c>
      <c r="R38" s="576" t="s">
        <v>291</v>
      </c>
      <c r="S38" s="576" t="s">
        <v>291</v>
      </c>
      <c r="T38" s="576" t="s">
        <v>291</v>
      </c>
      <c r="U38" s="782">
        <f>0.5*(MAX(R38:T38)-MIN(R38:T38))</f>
        <v>0</v>
      </c>
      <c r="W38" s="713" t="s">
        <v>290</v>
      </c>
      <c r="X38" s="714">
        <v>0</v>
      </c>
    </row>
    <row r="39" spans="1:24" x14ac:dyDescent="0.2">
      <c r="A39" s="1349"/>
      <c r="B39" s="453">
        <v>2</v>
      </c>
      <c r="C39" s="575">
        <v>20</v>
      </c>
      <c r="D39" s="575">
        <v>-0.1</v>
      </c>
      <c r="E39" s="575">
        <v>-0.3</v>
      </c>
      <c r="F39" s="576" t="s">
        <v>291</v>
      </c>
      <c r="G39" s="782">
        <f t="shared" ref="G39:G44" si="9">0.5*(MAX(D39:F39)-MIN(D39:F39))</f>
        <v>9.9999999999999992E-2</v>
      </c>
      <c r="I39" s="453">
        <v>2</v>
      </c>
      <c r="J39" s="575">
        <v>40</v>
      </c>
      <c r="K39" s="575">
        <v>-4.4000000000000004</v>
      </c>
      <c r="L39" s="575">
        <v>-1.5</v>
      </c>
      <c r="M39" s="576" t="s">
        <v>291</v>
      </c>
      <c r="N39" s="782">
        <f t="shared" ref="N39:N44" si="10">0.5*(MAX(K39:L39)-MIN(K39:L39))</f>
        <v>1.4500000000000002</v>
      </c>
      <c r="P39" s="453">
        <v>2</v>
      </c>
      <c r="Q39" s="575">
        <v>800</v>
      </c>
      <c r="R39" s="576" t="s">
        <v>291</v>
      </c>
      <c r="S39" s="576" t="s">
        <v>291</v>
      </c>
      <c r="T39" s="576" t="s">
        <v>291</v>
      </c>
      <c r="U39" s="782">
        <f t="shared" ref="U39:U44" si="11">0.5*(MAX(R39:T39)-MIN(R39:T39))</f>
        <v>0</v>
      </c>
    </row>
    <row r="40" spans="1:24" x14ac:dyDescent="0.2">
      <c r="A40" s="1349"/>
      <c r="B40" s="453">
        <v>3</v>
      </c>
      <c r="C40" s="575">
        <v>25</v>
      </c>
      <c r="D40" s="575">
        <v>-0.1</v>
      </c>
      <c r="E40" s="575">
        <v>-0.5</v>
      </c>
      <c r="F40" s="576" t="s">
        <v>291</v>
      </c>
      <c r="G40" s="782">
        <f t="shared" si="9"/>
        <v>0.2</v>
      </c>
      <c r="I40" s="453">
        <v>3</v>
      </c>
      <c r="J40" s="575">
        <v>50</v>
      </c>
      <c r="K40" s="575">
        <v>-4.3</v>
      </c>
      <c r="L40" s="575">
        <v>-1</v>
      </c>
      <c r="M40" s="576" t="s">
        <v>291</v>
      </c>
      <c r="N40" s="782">
        <f t="shared" si="10"/>
        <v>1.65</v>
      </c>
      <c r="P40" s="453">
        <v>3</v>
      </c>
      <c r="Q40" s="575">
        <v>850</v>
      </c>
      <c r="R40" s="576" t="s">
        <v>291</v>
      </c>
      <c r="S40" s="576" t="s">
        <v>291</v>
      </c>
      <c r="T40" s="576" t="s">
        <v>291</v>
      </c>
      <c r="U40" s="782">
        <f t="shared" si="11"/>
        <v>0</v>
      </c>
    </row>
    <row r="41" spans="1:24" x14ac:dyDescent="0.2">
      <c r="A41" s="1349"/>
      <c r="B41" s="453">
        <v>4</v>
      </c>
      <c r="C41" s="580">
        <v>30</v>
      </c>
      <c r="D41" s="577">
        <v>-0.1</v>
      </c>
      <c r="E41" s="577">
        <v>-0.6</v>
      </c>
      <c r="F41" s="576" t="s">
        <v>291</v>
      </c>
      <c r="G41" s="782">
        <f t="shared" si="9"/>
        <v>0.25</v>
      </c>
      <c r="I41" s="453">
        <v>4</v>
      </c>
      <c r="J41" s="580">
        <v>60</v>
      </c>
      <c r="K41" s="577">
        <v>-4.2</v>
      </c>
      <c r="L41" s="577">
        <v>-0.3</v>
      </c>
      <c r="M41" s="576" t="s">
        <v>291</v>
      </c>
      <c r="N41" s="782">
        <f t="shared" si="10"/>
        <v>1.9500000000000002</v>
      </c>
      <c r="P41" s="453">
        <v>4</v>
      </c>
      <c r="Q41" s="580">
        <v>900</v>
      </c>
      <c r="R41" s="577" t="s">
        <v>291</v>
      </c>
      <c r="S41" s="577" t="s">
        <v>291</v>
      </c>
      <c r="T41" s="576" t="s">
        <v>291</v>
      </c>
      <c r="U41" s="782">
        <f t="shared" si="11"/>
        <v>0</v>
      </c>
    </row>
    <row r="42" spans="1:24" x14ac:dyDescent="0.2">
      <c r="A42" s="1349"/>
      <c r="B42" s="453">
        <v>5</v>
      </c>
      <c r="C42" s="580">
        <v>35</v>
      </c>
      <c r="D42" s="577">
        <v>-0.3</v>
      </c>
      <c r="E42" s="577">
        <v>-0.6</v>
      </c>
      <c r="F42" s="576" t="s">
        <v>291</v>
      </c>
      <c r="G42" s="782">
        <f t="shared" si="9"/>
        <v>0.15</v>
      </c>
      <c r="I42" s="453">
        <v>5</v>
      </c>
      <c r="J42" s="580">
        <v>70</v>
      </c>
      <c r="K42" s="577">
        <v>-4</v>
      </c>
      <c r="L42" s="577">
        <v>0.7</v>
      </c>
      <c r="M42" s="576" t="s">
        <v>291</v>
      </c>
      <c r="N42" s="782">
        <f t="shared" si="10"/>
        <v>2.35</v>
      </c>
      <c r="P42" s="453">
        <v>5</v>
      </c>
      <c r="Q42" s="580">
        <v>1000</v>
      </c>
      <c r="R42" s="577" t="s">
        <v>291</v>
      </c>
      <c r="S42" s="577" t="s">
        <v>291</v>
      </c>
      <c r="T42" s="576" t="s">
        <v>291</v>
      </c>
      <c r="U42" s="782">
        <f t="shared" si="11"/>
        <v>0</v>
      </c>
    </row>
    <row r="43" spans="1:24" x14ac:dyDescent="0.2">
      <c r="A43" s="1349"/>
      <c r="B43" s="453">
        <v>6</v>
      </c>
      <c r="C43" s="580">
        <v>37</v>
      </c>
      <c r="D43" s="577">
        <v>-0.4</v>
      </c>
      <c r="E43" s="577">
        <v>-0.6</v>
      </c>
      <c r="F43" s="576" t="s">
        <v>291</v>
      </c>
      <c r="G43" s="782">
        <f t="shared" si="9"/>
        <v>9.9999999999999978E-2</v>
      </c>
      <c r="I43" s="453">
        <v>6</v>
      </c>
      <c r="J43" s="580">
        <v>80</v>
      </c>
      <c r="K43" s="577">
        <v>-3.8</v>
      </c>
      <c r="L43" s="577">
        <v>1.9</v>
      </c>
      <c r="M43" s="576" t="s">
        <v>291</v>
      </c>
      <c r="N43" s="782">
        <f t="shared" si="10"/>
        <v>2.8499999999999996</v>
      </c>
      <c r="P43" s="453">
        <v>6</v>
      </c>
      <c r="Q43" s="580">
        <v>1005</v>
      </c>
      <c r="R43" s="577" t="s">
        <v>291</v>
      </c>
      <c r="S43" s="577" t="s">
        <v>291</v>
      </c>
      <c r="T43" s="576" t="s">
        <v>291</v>
      </c>
      <c r="U43" s="782">
        <f t="shared" si="11"/>
        <v>0</v>
      </c>
    </row>
    <row r="44" spans="1:24" ht="13.5" thickBot="1" x14ac:dyDescent="0.25">
      <c r="A44" s="1350"/>
      <c r="B44" s="453">
        <v>7</v>
      </c>
      <c r="C44" s="580">
        <v>40</v>
      </c>
      <c r="D44" s="577">
        <v>-0.5</v>
      </c>
      <c r="E44" s="577">
        <v>-0.6</v>
      </c>
      <c r="F44" s="576" t="s">
        <v>291</v>
      </c>
      <c r="G44" s="782">
        <f t="shared" si="9"/>
        <v>4.9999999999999989E-2</v>
      </c>
      <c r="I44" s="453">
        <v>7</v>
      </c>
      <c r="J44" s="580">
        <v>90</v>
      </c>
      <c r="K44" s="577">
        <v>-3.5</v>
      </c>
      <c r="L44" s="577">
        <v>3.3</v>
      </c>
      <c r="M44" s="576" t="s">
        <v>291</v>
      </c>
      <c r="N44" s="782">
        <f t="shared" si="10"/>
        <v>3.4</v>
      </c>
      <c r="P44" s="453">
        <v>7</v>
      </c>
      <c r="Q44" s="580">
        <v>1020</v>
      </c>
      <c r="R44" s="577" t="s">
        <v>291</v>
      </c>
      <c r="S44" s="577" t="s">
        <v>291</v>
      </c>
      <c r="T44" s="576" t="s">
        <v>291</v>
      </c>
      <c r="U44" s="782">
        <f t="shared" si="11"/>
        <v>0</v>
      </c>
    </row>
    <row r="45" spans="1:24" ht="13.5" thickBot="1" x14ac:dyDescent="0.25">
      <c r="A45" s="715"/>
      <c r="B45" s="568"/>
      <c r="O45" s="716"/>
      <c r="P45" s="529"/>
    </row>
    <row r="46" spans="1:24" x14ac:dyDescent="0.2">
      <c r="A46" s="1348">
        <v>5</v>
      </c>
      <c r="B46" s="1344" t="s">
        <v>295</v>
      </c>
      <c r="C46" s="1344"/>
      <c r="D46" s="1344"/>
      <c r="E46" s="1344"/>
      <c r="F46" s="1344"/>
      <c r="G46" s="1344"/>
      <c r="I46" s="1344" t="str">
        <f>B46</f>
        <v>KOREKSI KIMO THERMOHYGROMETER 15062875</v>
      </c>
      <c r="J46" s="1344"/>
      <c r="K46" s="1344"/>
      <c r="L46" s="1344"/>
      <c r="M46" s="1344"/>
      <c r="N46" s="1344"/>
      <c r="P46" s="1344" t="str">
        <f>I46</f>
        <v>KOREKSI KIMO THERMOHYGROMETER 15062875</v>
      </c>
      <c r="Q46" s="1344"/>
      <c r="R46" s="1344"/>
      <c r="S46" s="1344"/>
      <c r="T46" s="1344"/>
      <c r="U46" s="1344"/>
      <c r="W46" s="1338" t="s">
        <v>284</v>
      </c>
      <c r="X46" s="1339"/>
    </row>
    <row r="47" spans="1:24" x14ac:dyDescent="0.2">
      <c r="A47" s="1349"/>
      <c r="B47" s="1340" t="s">
        <v>285</v>
      </c>
      <c r="C47" s="1340"/>
      <c r="D47" s="1340" t="s">
        <v>286</v>
      </c>
      <c r="E47" s="1340"/>
      <c r="F47" s="1340"/>
      <c r="G47" s="1340" t="s">
        <v>287</v>
      </c>
      <c r="I47" s="1340" t="s">
        <v>288</v>
      </c>
      <c r="J47" s="1340"/>
      <c r="K47" s="1340" t="s">
        <v>286</v>
      </c>
      <c r="L47" s="1340"/>
      <c r="M47" s="1340"/>
      <c r="N47" s="1340" t="s">
        <v>287</v>
      </c>
      <c r="P47" s="1340" t="s">
        <v>289</v>
      </c>
      <c r="Q47" s="1340"/>
      <c r="R47" s="1340" t="s">
        <v>286</v>
      </c>
      <c r="S47" s="1340"/>
      <c r="T47" s="1340"/>
      <c r="U47" s="1340" t="s">
        <v>287</v>
      </c>
      <c r="W47" s="711" t="s">
        <v>285</v>
      </c>
      <c r="X47" s="712">
        <v>0.4</v>
      </c>
    </row>
    <row r="48" spans="1:24" ht="15" x14ac:dyDescent="0.2">
      <c r="A48" s="1349"/>
      <c r="B48" s="1341" t="s">
        <v>532</v>
      </c>
      <c r="C48" s="1341"/>
      <c r="D48" s="887">
        <v>2020</v>
      </c>
      <c r="E48" s="887">
        <v>2017</v>
      </c>
      <c r="F48" s="888" t="s">
        <v>291</v>
      </c>
      <c r="G48" s="1340"/>
      <c r="I48" s="1342" t="s">
        <v>22</v>
      </c>
      <c r="J48" s="1341"/>
      <c r="K48" s="887">
        <f>D48</f>
        <v>2020</v>
      </c>
      <c r="L48" s="887">
        <f>E48</f>
        <v>2017</v>
      </c>
      <c r="M48" s="887" t="str">
        <f>F48</f>
        <v>-</v>
      </c>
      <c r="N48" s="1340"/>
      <c r="P48" s="1342" t="s">
        <v>290</v>
      </c>
      <c r="Q48" s="1341"/>
      <c r="R48" s="887">
        <f>K48</f>
        <v>2020</v>
      </c>
      <c r="S48" s="887">
        <f>L48</f>
        <v>2017</v>
      </c>
      <c r="T48" s="887" t="str">
        <f>M48</f>
        <v>-</v>
      </c>
      <c r="U48" s="1340"/>
      <c r="W48" s="711" t="s">
        <v>22</v>
      </c>
      <c r="X48" s="712">
        <v>2.8</v>
      </c>
    </row>
    <row r="49" spans="1:24" ht="13.5" thickBot="1" x14ac:dyDescent="0.25">
      <c r="A49" s="1349"/>
      <c r="B49" s="453">
        <v>1</v>
      </c>
      <c r="C49" s="575">
        <v>15</v>
      </c>
      <c r="D49" s="575">
        <v>-0.3</v>
      </c>
      <c r="E49" s="575">
        <v>0.3</v>
      </c>
      <c r="F49" s="576" t="s">
        <v>291</v>
      </c>
      <c r="G49" s="782">
        <f>0.5*(MAX(D49:F49)-MIN(D49:F49))</f>
        <v>0.3</v>
      </c>
      <c r="I49" s="453">
        <v>1</v>
      </c>
      <c r="J49" s="575">
        <v>35</v>
      </c>
      <c r="K49" s="575">
        <v>-7.7</v>
      </c>
      <c r="L49" s="575">
        <v>-9.6</v>
      </c>
      <c r="M49" s="576" t="s">
        <v>291</v>
      </c>
      <c r="N49" s="782">
        <f>0.5*(MAX(K49:M49)-MIN(K49:M49))</f>
        <v>0.94999999999999973</v>
      </c>
      <c r="P49" s="453">
        <v>1</v>
      </c>
      <c r="Q49" s="575">
        <v>750</v>
      </c>
      <c r="R49" s="576" t="s">
        <v>291</v>
      </c>
      <c r="S49" s="576" t="s">
        <v>291</v>
      </c>
      <c r="T49" s="576" t="s">
        <v>291</v>
      </c>
      <c r="U49" s="782">
        <f>0.5*(MAX(R49:T49)-MIN(R49:T49))</f>
        <v>0</v>
      </c>
      <c r="W49" s="713" t="s">
        <v>290</v>
      </c>
      <c r="X49" s="714">
        <v>0</v>
      </c>
    </row>
    <row r="50" spans="1:24" x14ac:dyDescent="0.2">
      <c r="A50" s="1349"/>
      <c r="B50" s="453">
        <v>2</v>
      </c>
      <c r="C50" s="575">
        <v>20</v>
      </c>
      <c r="D50" s="575">
        <v>0.1</v>
      </c>
      <c r="E50" s="575">
        <v>0.3</v>
      </c>
      <c r="F50" s="576" t="s">
        <v>291</v>
      </c>
      <c r="G50" s="782">
        <f t="shared" ref="G50:G55" si="12">0.5*(MAX(D50:F50)-MIN(D50:F50))</f>
        <v>9.9999999999999992E-2</v>
      </c>
      <c r="I50" s="453">
        <v>2</v>
      </c>
      <c r="J50" s="575">
        <v>40</v>
      </c>
      <c r="K50" s="575">
        <v>-7.2</v>
      </c>
      <c r="L50" s="575">
        <v>-8</v>
      </c>
      <c r="M50" s="576" t="s">
        <v>291</v>
      </c>
      <c r="N50" s="782">
        <f t="shared" ref="N50:N55" si="13">0.5*(MAX(K50:M50)-MIN(K50:M50))</f>
        <v>0.39999999999999991</v>
      </c>
      <c r="P50" s="453">
        <v>2</v>
      </c>
      <c r="Q50" s="575">
        <v>800</v>
      </c>
      <c r="R50" s="576" t="s">
        <v>291</v>
      </c>
      <c r="S50" s="576" t="s">
        <v>291</v>
      </c>
      <c r="T50" s="576" t="s">
        <v>291</v>
      </c>
      <c r="U50" s="782">
        <f t="shared" ref="U50:U55" si="14">0.5*(MAX(R50:T50)-MIN(R50:T50))</f>
        <v>0</v>
      </c>
    </row>
    <row r="51" spans="1:24" x14ac:dyDescent="0.2">
      <c r="A51" s="1349"/>
      <c r="B51" s="453">
        <v>3</v>
      </c>
      <c r="C51" s="575">
        <v>25</v>
      </c>
      <c r="D51" s="575">
        <v>0.4</v>
      </c>
      <c r="E51" s="575">
        <v>0.2</v>
      </c>
      <c r="F51" s="576" t="s">
        <v>291</v>
      </c>
      <c r="G51" s="782">
        <f t="shared" si="12"/>
        <v>0.1</v>
      </c>
      <c r="I51" s="453">
        <v>3</v>
      </c>
      <c r="J51" s="575">
        <v>50</v>
      </c>
      <c r="K51" s="575">
        <v>-6.2</v>
      </c>
      <c r="L51" s="575">
        <v>-6.2</v>
      </c>
      <c r="M51" s="576" t="s">
        <v>291</v>
      </c>
      <c r="N51" s="782">
        <f t="shared" si="13"/>
        <v>0</v>
      </c>
      <c r="P51" s="453">
        <v>3</v>
      </c>
      <c r="Q51" s="575">
        <v>850</v>
      </c>
      <c r="R51" s="576" t="s">
        <v>291</v>
      </c>
      <c r="S51" s="576" t="s">
        <v>291</v>
      </c>
      <c r="T51" s="576" t="s">
        <v>291</v>
      </c>
      <c r="U51" s="782">
        <f t="shared" si="14"/>
        <v>0</v>
      </c>
    </row>
    <row r="52" spans="1:24" x14ac:dyDescent="0.2">
      <c r="A52" s="1349"/>
      <c r="B52" s="453">
        <v>4</v>
      </c>
      <c r="C52" s="580">
        <v>30</v>
      </c>
      <c r="D52" s="577">
        <v>0.6</v>
      </c>
      <c r="E52" s="577">
        <v>0.1</v>
      </c>
      <c r="F52" s="576" t="s">
        <v>291</v>
      </c>
      <c r="G52" s="782">
        <f t="shared" si="12"/>
        <v>0.25</v>
      </c>
      <c r="I52" s="453">
        <v>4</v>
      </c>
      <c r="J52" s="580">
        <v>60</v>
      </c>
      <c r="K52" s="577">
        <v>-5.2</v>
      </c>
      <c r="L52" s="577">
        <v>-4.2</v>
      </c>
      <c r="M52" s="576" t="s">
        <v>291</v>
      </c>
      <c r="N52" s="782">
        <f t="shared" si="13"/>
        <v>0.5</v>
      </c>
      <c r="P52" s="453">
        <v>4</v>
      </c>
      <c r="Q52" s="580">
        <v>900</v>
      </c>
      <c r="R52" s="577" t="s">
        <v>291</v>
      </c>
      <c r="S52" s="577" t="s">
        <v>291</v>
      </c>
      <c r="T52" s="576" t="s">
        <v>291</v>
      </c>
      <c r="U52" s="782">
        <f t="shared" si="14"/>
        <v>0</v>
      </c>
    </row>
    <row r="53" spans="1:24" x14ac:dyDescent="0.2">
      <c r="A53" s="1349"/>
      <c r="B53" s="453">
        <v>5</v>
      </c>
      <c r="C53" s="580">
        <v>35</v>
      </c>
      <c r="D53" s="577">
        <v>0.7</v>
      </c>
      <c r="E53" s="577">
        <v>9.9999999999999995E-7</v>
      </c>
      <c r="F53" s="576" t="s">
        <v>291</v>
      </c>
      <c r="G53" s="782">
        <f t="shared" si="12"/>
        <v>0.34999949999999996</v>
      </c>
      <c r="I53" s="453">
        <v>5</v>
      </c>
      <c r="J53" s="580">
        <v>70</v>
      </c>
      <c r="K53" s="577">
        <v>-4.0999999999999996</v>
      </c>
      <c r="L53" s="577">
        <v>-2.1</v>
      </c>
      <c r="M53" s="576" t="s">
        <v>291</v>
      </c>
      <c r="N53" s="782">
        <f t="shared" si="13"/>
        <v>0.99999999999999978</v>
      </c>
      <c r="P53" s="453">
        <v>5</v>
      </c>
      <c r="Q53" s="580">
        <v>1000</v>
      </c>
      <c r="R53" s="577" t="s">
        <v>291</v>
      </c>
      <c r="S53" s="577" t="s">
        <v>291</v>
      </c>
      <c r="T53" s="576" t="s">
        <v>291</v>
      </c>
      <c r="U53" s="782">
        <f t="shared" si="14"/>
        <v>0</v>
      </c>
    </row>
    <row r="54" spans="1:24" x14ac:dyDescent="0.2">
      <c r="A54" s="1349"/>
      <c r="B54" s="453">
        <v>6</v>
      </c>
      <c r="C54" s="580">
        <v>37</v>
      </c>
      <c r="D54" s="577">
        <v>0.7</v>
      </c>
      <c r="E54" s="577">
        <v>9.9999999999999995E-7</v>
      </c>
      <c r="F54" s="576" t="s">
        <v>291</v>
      </c>
      <c r="G54" s="782">
        <f t="shared" si="12"/>
        <v>0.34999949999999996</v>
      </c>
      <c r="I54" s="453">
        <v>6</v>
      </c>
      <c r="J54" s="580">
        <v>80</v>
      </c>
      <c r="K54" s="577">
        <v>-3</v>
      </c>
      <c r="L54" s="577">
        <v>0.2</v>
      </c>
      <c r="M54" s="576" t="s">
        <v>291</v>
      </c>
      <c r="N54" s="782">
        <f t="shared" si="13"/>
        <v>1.6</v>
      </c>
      <c r="P54" s="453">
        <v>6</v>
      </c>
      <c r="Q54" s="580">
        <v>1005</v>
      </c>
      <c r="R54" s="577" t="s">
        <v>291</v>
      </c>
      <c r="S54" s="577" t="s">
        <v>291</v>
      </c>
      <c r="T54" s="576" t="s">
        <v>291</v>
      </c>
      <c r="U54" s="782">
        <f t="shared" si="14"/>
        <v>0</v>
      </c>
    </row>
    <row r="55" spans="1:24" ht="13.5" thickBot="1" x14ac:dyDescent="0.25">
      <c r="A55" s="1350"/>
      <c r="B55" s="453">
        <v>7</v>
      </c>
      <c r="C55" s="580">
        <v>40</v>
      </c>
      <c r="D55" s="577">
        <v>0.7</v>
      </c>
      <c r="E55" s="577">
        <v>-0.1</v>
      </c>
      <c r="F55" s="576" t="s">
        <v>291</v>
      </c>
      <c r="G55" s="782">
        <f t="shared" si="12"/>
        <v>0.39999999999999997</v>
      </c>
      <c r="I55" s="453">
        <v>7</v>
      </c>
      <c r="J55" s="580">
        <v>90</v>
      </c>
      <c r="K55" s="577">
        <v>-1.8</v>
      </c>
      <c r="L55" s="577">
        <v>2.7</v>
      </c>
      <c r="M55" s="576" t="s">
        <v>291</v>
      </c>
      <c r="N55" s="782">
        <f t="shared" si="13"/>
        <v>2.25</v>
      </c>
      <c r="P55" s="453">
        <v>7</v>
      </c>
      <c r="Q55" s="580">
        <v>1020</v>
      </c>
      <c r="R55" s="577" t="s">
        <v>291</v>
      </c>
      <c r="S55" s="577" t="s">
        <v>291</v>
      </c>
      <c r="T55" s="576" t="s">
        <v>291</v>
      </c>
      <c r="U55" s="782">
        <f t="shared" si="14"/>
        <v>0</v>
      </c>
    </row>
    <row r="56" spans="1:24" ht="13.5" thickBot="1" x14ac:dyDescent="0.25">
      <c r="A56" s="717"/>
      <c r="B56" s="709"/>
      <c r="C56" s="709"/>
      <c r="D56" s="709"/>
      <c r="E56" s="579"/>
      <c r="F56" s="709"/>
      <c r="G56" s="526"/>
      <c r="H56" s="709"/>
      <c r="I56" s="709"/>
      <c r="J56" s="709"/>
      <c r="K56" s="579"/>
      <c r="L56" s="709"/>
      <c r="O56" s="716"/>
      <c r="P56" s="529"/>
    </row>
    <row r="57" spans="1:24" x14ac:dyDescent="0.2">
      <c r="A57" s="1345">
        <v>6</v>
      </c>
      <c r="B57" s="1344" t="s">
        <v>296</v>
      </c>
      <c r="C57" s="1344"/>
      <c r="D57" s="1344"/>
      <c r="E57" s="1344"/>
      <c r="F57" s="1344"/>
      <c r="G57" s="1344"/>
      <c r="I57" s="1344" t="str">
        <f>B57</f>
        <v>KOREKSI GREISINGER 34903046</v>
      </c>
      <c r="J57" s="1344"/>
      <c r="K57" s="1344"/>
      <c r="L57" s="1344"/>
      <c r="M57" s="1344"/>
      <c r="N57" s="1344"/>
      <c r="P57" s="1344" t="str">
        <f>I57</f>
        <v>KOREKSI GREISINGER 34903046</v>
      </c>
      <c r="Q57" s="1344"/>
      <c r="R57" s="1344"/>
      <c r="S57" s="1344"/>
      <c r="T57" s="1344"/>
      <c r="U57" s="1344"/>
      <c r="W57" s="1338" t="s">
        <v>284</v>
      </c>
      <c r="X57" s="1339"/>
    </row>
    <row r="58" spans="1:24" x14ac:dyDescent="0.2">
      <c r="A58" s="1345"/>
      <c r="B58" s="1340" t="s">
        <v>285</v>
      </c>
      <c r="C58" s="1340"/>
      <c r="D58" s="1340" t="s">
        <v>286</v>
      </c>
      <c r="E58" s="1340"/>
      <c r="F58" s="1340"/>
      <c r="G58" s="1340" t="s">
        <v>287</v>
      </c>
      <c r="I58" s="1340" t="s">
        <v>288</v>
      </c>
      <c r="J58" s="1340"/>
      <c r="K58" s="1340" t="s">
        <v>286</v>
      </c>
      <c r="L58" s="1340"/>
      <c r="M58" s="1340"/>
      <c r="N58" s="1340" t="s">
        <v>287</v>
      </c>
      <c r="P58" s="1340" t="s">
        <v>289</v>
      </c>
      <c r="Q58" s="1340"/>
      <c r="R58" s="1356" t="s">
        <v>286</v>
      </c>
      <c r="S58" s="1357"/>
      <c r="T58" s="1358"/>
      <c r="U58" s="1340" t="s">
        <v>287</v>
      </c>
      <c r="W58" s="711" t="s">
        <v>285</v>
      </c>
      <c r="X58" s="712">
        <v>0.8</v>
      </c>
    </row>
    <row r="59" spans="1:24" ht="15" x14ac:dyDescent="0.2">
      <c r="A59" s="1345"/>
      <c r="B59" s="1341" t="s">
        <v>532</v>
      </c>
      <c r="C59" s="1341"/>
      <c r="D59" s="887">
        <v>2019</v>
      </c>
      <c r="E59" s="887">
        <v>2018</v>
      </c>
      <c r="F59" s="888" t="s">
        <v>291</v>
      </c>
      <c r="G59" s="1340"/>
      <c r="I59" s="1342" t="s">
        <v>22</v>
      </c>
      <c r="J59" s="1341"/>
      <c r="K59" s="887">
        <f>D59</f>
        <v>2019</v>
      </c>
      <c r="L59" s="887">
        <f>E59</f>
        <v>2018</v>
      </c>
      <c r="M59" s="887" t="str">
        <f>F59</f>
        <v>-</v>
      </c>
      <c r="N59" s="1340"/>
      <c r="P59" s="1342" t="s">
        <v>290</v>
      </c>
      <c r="Q59" s="1341"/>
      <c r="R59" s="887">
        <f>K59</f>
        <v>2019</v>
      </c>
      <c r="S59" s="887">
        <f>L59</f>
        <v>2018</v>
      </c>
      <c r="T59" s="887" t="str">
        <f>M59</f>
        <v>-</v>
      </c>
      <c r="U59" s="1340"/>
      <c r="W59" s="711" t="s">
        <v>22</v>
      </c>
      <c r="X59" s="712">
        <v>2.6</v>
      </c>
    </row>
    <row r="60" spans="1:24" ht="13.5" thickBot="1" x14ac:dyDescent="0.25">
      <c r="A60" s="1345"/>
      <c r="B60" s="453">
        <v>1</v>
      </c>
      <c r="C60" s="575">
        <v>15</v>
      </c>
      <c r="D60" s="575">
        <v>0.4</v>
      </c>
      <c r="E60" s="575">
        <v>0.4</v>
      </c>
      <c r="F60" s="576" t="s">
        <v>291</v>
      </c>
      <c r="G60" s="782">
        <f>0.5*(MAX(D60:F60)-MIN(D60:F60))</f>
        <v>0</v>
      </c>
      <c r="I60" s="453">
        <v>1</v>
      </c>
      <c r="J60" s="575">
        <v>30</v>
      </c>
      <c r="K60" s="575">
        <v>-1.5</v>
      </c>
      <c r="L60" s="575">
        <v>1.7</v>
      </c>
      <c r="M60" s="576" t="s">
        <v>291</v>
      </c>
      <c r="N60" s="782">
        <f>0.5*(MAX(K60:M60)-MIN(K60:M60))</f>
        <v>1.6</v>
      </c>
      <c r="P60" s="453">
        <v>1</v>
      </c>
      <c r="Q60" s="575">
        <v>750</v>
      </c>
      <c r="R60" s="575">
        <v>0.9</v>
      </c>
      <c r="S60" s="575">
        <v>2.1</v>
      </c>
      <c r="T60" s="576" t="s">
        <v>291</v>
      </c>
      <c r="U60" s="782">
        <f>0.5*(MAX(R60:T60)-MIN(R60:T60))</f>
        <v>0.60000000000000009</v>
      </c>
      <c r="W60" s="713" t="s">
        <v>290</v>
      </c>
      <c r="X60" s="714">
        <v>1.6</v>
      </c>
    </row>
    <row r="61" spans="1:24" x14ac:dyDescent="0.2">
      <c r="A61" s="1345"/>
      <c r="B61" s="453">
        <v>2</v>
      </c>
      <c r="C61" s="575">
        <v>20</v>
      </c>
      <c r="D61" s="575">
        <v>0.3</v>
      </c>
      <c r="E61" s="575">
        <v>0.2</v>
      </c>
      <c r="F61" s="576" t="s">
        <v>291</v>
      </c>
      <c r="G61" s="782">
        <f t="shared" ref="G61:G66" si="15">0.5*(MAX(D61:F61)-MIN(D61:F61))</f>
        <v>4.9999999999999989E-2</v>
      </c>
      <c r="I61" s="453">
        <v>2</v>
      </c>
      <c r="J61" s="575">
        <v>40</v>
      </c>
      <c r="K61" s="575">
        <v>-3.8</v>
      </c>
      <c r="L61" s="575">
        <v>1.5</v>
      </c>
      <c r="M61" s="576" t="s">
        <v>291</v>
      </c>
      <c r="N61" s="782">
        <f t="shared" ref="N61:N66" si="16">0.5*(MAX(K61:M61)-MIN(K61:M61))</f>
        <v>2.65</v>
      </c>
      <c r="P61" s="453">
        <v>2</v>
      </c>
      <c r="Q61" s="575">
        <v>800</v>
      </c>
      <c r="R61" s="575">
        <v>0.9</v>
      </c>
      <c r="S61" s="575">
        <v>1.6</v>
      </c>
      <c r="T61" s="576" t="s">
        <v>291</v>
      </c>
      <c r="U61" s="782">
        <f t="shared" ref="U61:U66" si="17">0.5*(MAX(R61:T61)-MIN(R61:T61))</f>
        <v>0.35000000000000003</v>
      </c>
    </row>
    <row r="62" spans="1:24" x14ac:dyDescent="0.2">
      <c r="A62" s="1345"/>
      <c r="B62" s="453">
        <v>3</v>
      </c>
      <c r="C62" s="575">
        <v>25</v>
      </c>
      <c r="D62" s="575">
        <v>0.2</v>
      </c>
      <c r="E62" s="575">
        <v>-0.1</v>
      </c>
      <c r="F62" s="576" t="s">
        <v>291</v>
      </c>
      <c r="G62" s="782">
        <f t="shared" si="15"/>
        <v>0.15000000000000002</v>
      </c>
      <c r="I62" s="453">
        <v>3</v>
      </c>
      <c r="J62" s="575">
        <v>50</v>
      </c>
      <c r="K62" s="575">
        <v>-5.4</v>
      </c>
      <c r="L62" s="575">
        <v>1.2</v>
      </c>
      <c r="M62" s="576" t="s">
        <v>291</v>
      </c>
      <c r="N62" s="782">
        <f t="shared" si="16"/>
        <v>3.3000000000000003</v>
      </c>
      <c r="P62" s="453">
        <v>3</v>
      </c>
      <c r="Q62" s="575">
        <v>850</v>
      </c>
      <c r="R62" s="575">
        <v>0.9</v>
      </c>
      <c r="S62" s="575">
        <v>1.1000000000000001</v>
      </c>
      <c r="T62" s="576" t="s">
        <v>291</v>
      </c>
      <c r="U62" s="782">
        <f t="shared" si="17"/>
        <v>0.10000000000000003</v>
      </c>
    </row>
    <row r="63" spans="1:24" x14ac:dyDescent="0.2">
      <c r="A63" s="1345"/>
      <c r="B63" s="453">
        <v>4</v>
      </c>
      <c r="C63" s="580">
        <v>30</v>
      </c>
      <c r="D63" s="580">
        <v>0.1</v>
      </c>
      <c r="E63" s="580">
        <v>-0.5</v>
      </c>
      <c r="F63" s="576" t="s">
        <v>291</v>
      </c>
      <c r="G63" s="782">
        <f t="shared" si="15"/>
        <v>0.3</v>
      </c>
      <c r="I63" s="453">
        <v>4</v>
      </c>
      <c r="J63" s="580">
        <v>60</v>
      </c>
      <c r="K63" s="580">
        <v>-6.4</v>
      </c>
      <c r="L63" s="580">
        <v>1.1000000000000001</v>
      </c>
      <c r="M63" s="576" t="s">
        <v>291</v>
      </c>
      <c r="N63" s="782">
        <f t="shared" si="16"/>
        <v>3.75</v>
      </c>
      <c r="P63" s="453">
        <v>4</v>
      </c>
      <c r="Q63" s="580">
        <v>900</v>
      </c>
      <c r="R63" s="580">
        <v>0.9</v>
      </c>
      <c r="S63" s="580">
        <v>0.7</v>
      </c>
      <c r="T63" s="576" t="s">
        <v>291</v>
      </c>
      <c r="U63" s="782">
        <f t="shared" si="17"/>
        <v>0.10000000000000003</v>
      </c>
    </row>
    <row r="64" spans="1:24" x14ac:dyDescent="0.2">
      <c r="A64" s="1345"/>
      <c r="B64" s="453">
        <v>5</v>
      </c>
      <c r="C64" s="580">
        <v>35</v>
      </c>
      <c r="D64" s="580">
        <v>0.1</v>
      </c>
      <c r="E64" s="580">
        <v>-0.9</v>
      </c>
      <c r="F64" s="576" t="s">
        <v>291</v>
      </c>
      <c r="G64" s="782">
        <f t="shared" si="15"/>
        <v>0.5</v>
      </c>
      <c r="I64" s="453">
        <v>5</v>
      </c>
      <c r="J64" s="580">
        <v>70</v>
      </c>
      <c r="K64" s="580">
        <v>-6.7</v>
      </c>
      <c r="L64" s="580">
        <v>0.9</v>
      </c>
      <c r="M64" s="576" t="s">
        <v>291</v>
      </c>
      <c r="N64" s="782">
        <f t="shared" si="16"/>
        <v>3.8000000000000003</v>
      </c>
      <c r="P64" s="453">
        <v>5</v>
      </c>
      <c r="Q64" s="580">
        <v>1000</v>
      </c>
      <c r="R64" s="580">
        <v>0.9</v>
      </c>
      <c r="S64" s="580">
        <v>-0.3</v>
      </c>
      <c r="T64" s="576" t="s">
        <v>291</v>
      </c>
      <c r="U64" s="782">
        <f t="shared" si="17"/>
        <v>0.6</v>
      </c>
    </row>
    <row r="65" spans="1:24" x14ac:dyDescent="0.2">
      <c r="A65" s="1345"/>
      <c r="B65" s="453">
        <v>6</v>
      </c>
      <c r="C65" s="580">
        <v>37</v>
      </c>
      <c r="D65" s="580">
        <v>0.1</v>
      </c>
      <c r="E65" s="580">
        <v>-1.1000000000000001</v>
      </c>
      <c r="F65" s="576" t="s">
        <v>291</v>
      </c>
      <c r="G65" s="782">
        <f t="shared" si="15"/>
        <v>0.60000000000000009</v>
      </c>
      <c r="I65" s="453">
        <v>6</v>
      </c>
      <c r="J65" s="580">
        <v>80</v>
      </c>
      <c r="K65" s="580">
        <v>-6.3</v>
      </c>
      <c r="L65" s="580">
        <v>0.8</v>
      </c>
      <c r="M65" s="576" t="s">
        <v>291</v>
      </c>
      <c r="N65" s="782">
        <f t="shared" si="16"/>
        <v>3.55</v>
      </c>
      <c r="P65" s="453">
        <v>6</v>
      </c>
      <c r="Q65" s="580">
        <v>1005</v>
      </c>
      <c r="R65" s="580">
        <v>0.9</v>
      </c>
      <c r="S65" s="580">
        <v>-0.3</v>
      </c>
      <c r="T65" s="576" t="s">
        <v>291</v>
      </c>
      <c r="U65" s="782">
        <f t="shared" si="17"/>
        <v>0.6</v>
      </c>
    </row>
    <row r="66" spans="1:24" x14ac:dyDescent="0.2">
      <c r="A66" s="1345"/>
      <c r="B66" s="453">
        <v>7</v>
      </c>
      <c r="C66" s="580">
        <v>40</v>
      </c>
      <c r="D66" s="580">
        <v>0.1</v>
      </c>
      <c r="E66" s="580">
        <v>-1.4</v>
      </c>
      <c r="F66" s="576" t="s">
        <v>291</v>
      </c>
      <c r="G66" s="782">
        <f t="shared" si="15"/>
        <v>0.75</v>
      </c>
      <c r="I66" s="453">
        <v>7</v>
      </c>
      <c r="J66" s="580">
        <v>90</v>
      </c>
      <c r="K66" s="580">
        <v>-5.2</v>
      </c>
      <c r="L66" s="580">
        <v>0.7</v>
      </c>
      <c r="M66" s="576" t="s">
        <v>291</v>
      </c>
      <c r="N66" s="782">
        <f t="shared" si="16"/>
        <v>2.95</v>
      </c>
      <c r="P66" s="453">
        <v>7</v>
      </c>
      <c r="Q66" s="580">
        <v>1020</v>
      </c>
      <c r="R66" s="580">
        <v>0.9</v>
      </c>
      <c r="S66" s="580">
        <v>9.9999999999999995E-7</v>
      </c>
      <c r="T66" s="576" t="s">
        <v>291</v>
      </c>
      <c r="U66" s="782">
        <f t="shared" si="17"/>
        <v>0.4499995</v>
      </c>
    </row>
    <row r="67" spans="1:24" ht="13.5" thickBot="1" x14ac:dyDescent="0.25">
      <c r="A67" s="717"/>
      <c r="B67" s="709"/>
      <c r="C67" s="709"/>
      <c r="D67" s="709"/>
      <c r="E67" s="579"/>
      <c r="F67" s="709"/>
      <c r="G67" s="526"/>
      <c r="I67" s="709"/>
      <c r="J67" s="709"/>
      <c r="K67" s="709"/>
      <c r="L67" s="579"/>
      <c r="M67" s="709"/>
      <c r="R67" s="529"/>
    </row>
    <row r="68" spans="1:24" x14ac:dyDescent="0.2">
      <c r="A68" s="1345">
        <v>7</v>
      </c>
      <c r="B68" s="1344" t="s">
        <v>297</v>
      </c>
      <c r="C68" s="1344"/>
      <c r="D68" s="1344"/>
      <c r="E68" s="1344"/>
      <c r="F68" s="1344"/>
      <c r="G68" s="1344"/>
      <c r="I68" s="1344" t="str">
        <f>B68</f>
        <v>KOREKSI GREISINGER 34903053</v>
      </c>
      <c r="J68" s="1344"/>
      <c r="K68" s="1344"/>
      <c r="L68" s="1344"/>
      <c r="M68" s="1344"/>
      <c r="N68" s="1344"/>
      <c r="P68" s="1344" t="str">
        <f>I68</f>
        <v>KOREKSI GREISINGER 34903053</v>
      </c>
      <c r="Q68" s="1344"/>
      <c r="R68" s="1344"/>
      <c r="S68" s="1344"/>
      <c r="T68" s="1344"/>
      <c r="U68" s="1344"/>
      <c r="W68" s="1338" t="s">
        <v>284</v>
      </c>
      <c r="X68" s="1339"/>
    </row>
    <row r="69" spans="1:24" x14ac:dyDescent="0.2">
      <c r="A69" s="1345"/>
      <c r="B69" s="1340" t="s">
        <v>285</v>
      </c>
      <c r="C69" s="1340"/>
      <c r="D69" s="1340" t="s">
        <v>286</v>
      </c>
      <c r="E69" s="1340"/>
      <c r="F69" s="1340"/>
      <c r="G69" s="1340" t="s">
        <v>287</v>
      </c>
      <c r="I69" s="1340" t="s">
        <v>288</v>
      </c>
      <c r="J69" s="1340"/>
      <c r="K69" s="1340" t="s">
        <v>286</v>
      </c>
      <c r="L69" s="1340"/>
      <c r="M69" s="1340"/>
      <c r="N69" s="1340" t="s">
        <v>287</v>
      </c>
      <c r="P69" s="1340" t="s">
        <v>289</v>
      </c>
      <c r="Q69" s="1340"/>
      <c r="R69" s="1340" t="s">
        <v>286</v>
      </c>
      <c r="S69" s="1340"/>
      <c r="T69" s="1340"/>
      <c r="U69" s="1340" t="s">
        <v>287</v>
      </c>
      <c r="W69" s="711" t="s">
        <v>285</v>
      </c>
      <c r="X69" s="712">
        <v>0.2</v>
      </c>
    </row>
    <row r="70" spans="1:24" ht="15" x14ac:dyDescent="0.2">
      <c r="A70" s="1345"/>
      <c r="B70" s="1341" t="s">
        <v>532</v>
      </c>
      <c r="C70" s="1341"/>
      <c r="D70" s="887">
        <v>2021</v>
      </c>
      <c r="E70" s="887">
        <v>2018</v>
      </c>
      <c r="F70" s="888" t="s">
        <v>291</v>
      </c>
      <c r="G70" s="1340"/>
      <c r="I70" s="1342" t="s">
        <v>22</v>
      </c>
      <c r="J70" s="1341"/>
      <c r="K70" s="887">
        <f>D70</f>
        <v>2021</v>
      </c>
      <c r="L70" s="887">
        <f>E70</f>
        <v>2018</v>
      </c>
      <c r="M70" s="887" t="str">
        <f>F70</f>
        <v>-</v>
      </c>
      <c r="N70" s="1340"/>
      <c r="P70" s="1342" t="s">
        <v>290</v>
      </c>
      <c r="Q70" s="1341"/>
      <c r="R70" s="887">
        <f>K70</f>
        <v>2021</v>
      </c>
      <c r="S70" s="887">
        <f>L70</f>
        <v>2018</v>
      </c>
      <c r="T70" s="887" t="str">
        <f>M70</f>
        <v>-</v>
      </c>
      <c r="U70" s="1340"/>
      <c r="W70" s="711" t="s">
        <v>22</v>
      </c>
      <c r="X70" s="712">
        <v>2.4</v>
      </c>
    </row>
    <row r="71" spans="1:24" ht="13.5" thickBot="1" x14ac:dyDescent="0.25">
      <c r="A71" s="1345"/>
      <c r="B71" s="453">
        <v>1</v>
      </c>
      <c r="C71" s="575">
        <v>15</v>
      </c>
      <c r="D71" s="575">
        <v>0.1</v>
      </c>
      <c r="E71" s="575">
        <v>0.3</v>
      </c>
      <c r="F71" s="576" t="s">
        <v>291</v>
      </c>
      <c r="G71" s="782">
        <f>0.5*(MAX(D71:F71)-MIN(D71:F71))</f>
        <v>9.9999999999999992E-2</v>
      </c>
      <c r="I71" s="453">
        <v>1</v>
      </c>
      <c r="J71" s="575">
        <v>30</v>
      </c>
      <c r="K71" s="575">
        <v>-1.9</v>
      </c>
      <c r="L71" s="575">
        <v>1.8</v>
      </c>
      <c r="M71" s="576" t="s">
        <v>291</v>
      </c>
      <c r="N71" s="782">
        <f>0.5*(MAX(K71:M71)-MIN(K71:M71))</f>
        <v>1.85</v>
      </c>
      <c r="P71" s="453">
        <v>1</v>
      </c>
      <c r="Q71" s="575">
        <v>750</v>
      </c>
      <c r="R71" s="575">
        <v>9.9999999999999995E-7</v>
      </c>
      <c r="S71" s="575">
        <v>3.2</v>
      </c>
      <c r="T71" s="576" t="s">
        <v>291</v>
      </c>
      <c r="U71" s="782">
        <f>0.5*(MAX(R71:T71)-MIN(R71:T71))</f>
        <v>1.5999995</v>
      </c>
      <c r="W71" s="713" t="s">
        <v>290</v>
      </c>
      <c r="X71" s="714">
        <v>2.4</v>
      </c>
    </row>
    <row r="72" spans="1:24" x14ac:dyDescent="0.2">
      <c r="A72" s="1345"/>
      <c r="B72" s="453">
        <v>2</v>
      </c>
      <c r="C72" s="575">
        <v>20</v>
      </c>
      <c r="D72" s="575">
        <v>9.9999999999999995E-7</v>
      </c>
      <c r="E72" s="575">
        <v>0.1</v>
      </c>
      <c r="F72" s="576" t="s">
        <v>291</v>
      </c>
      <c r="G72" s="782">
        <f t="shared" ref="G72:G77" si="18">0.5*(MAX(D72:F72)-MIN(D72:F72))</f>
        <v>4.9999500000000002E-2</v>
      </c>
      <c r="I72" s="453">
        <v>2</v>
      </c>
      <c r="J72" s="575">
        <v>40</v>
      </c>
      <c r="K72" s="575">
        <v>-1.9</v>
      </c>
      <c r="L72" s="575">
        <v>1.2</v>
      </c>
      <c r="M72" s="576" t="s">
        <v>291</v>
      </c>
      <c r="N72" s="782">
        <f t="shared" ref="N72:N77" si="19">0.5*(MAX(K72:M72)-MIN(K72:M72))</f>
        <v>1.5499999999999998</v>
      </c>
      <c r="P72" s="453">
        <v>2</v>
      </c>
      <c r="Q72" s="575">
        <v>800</v>
      </c>
      <c r="R72" s="575">
        <v>9.9999999999999995E-7</v>
      </c>
      <c r="S72" s="575">
        <v>2.5</v>
      </c>
      <c r="T72" s="576" t="s">
        <v>291</v>
      </c>
      <c r="U72" s="782">
        <f t="shared" ref="U72:U77" si="20">0.5*(MAX(R72:T72)-MIN(R72:T72))</f>
        <v>1.2499994999999999</v>
      </c>
    </row>
    <row r="73" spans="1:24" x14ac:dyDescent="0.2">
      <c r="A73" s="1345"/>
      <c r="B73" s="453">
        <v>3</v>
      </c>
      <c r="C73" s="575">
        <v>25</v>
      </c>
      <c r="D73" s="575">
        <v>9.9999999999999995E-7</v>
      </c>
      <c r="E73" s="575">
        <v>-0.2</v>
      </c>
      <c r="F73" s="576" t="s">
        <v>291</v>
      </c>
      <c r="G73" s="782">
        <f t="shared" si="18"/>
        <v>0.10000050000000001</v>
      </c>
      <c r="I73" s="453">
        <v>3</v>
      </c>
      <c r="J73" s="575">
        <v>50</v>
      </c>
      <c r="K73" s="575">
        <v>-1.9</v>
      </c>
      <c r="L73" s="575">
        <v>0.8</v>
      </c>
      <c r="M73" s="576" t="s">
        <v>291</v>
      </c>
      <c r="N73" s="782">
        <f t="shared" si="19"/>
        <v>1.35</v>
      </c>
      <c r="P73" s="453">
        <v>3</v>
      </c>
      <c r="Q73" s="575">
        <v>850</v>
      </c>
      <c r="R73" s="575">
        <v>9.9999999999999995E-7</v>
      </c>
      <c r="S73" s="575">
        <v>1.7</v>
      </c>
      <c r="T73" s="576" t="s">
        <v>291</v>
      </c>
      <c r="U73" s="782">
        <f t="shared" si="20"/>
        <v>0.84999950000000002</v>
      </c>
    </row>
    <row r="74" spans="1:24" x14ac:dyDescent="0.2">
      <c r="A74" s="1345"/>
      <c r="B74" s="453">
        <v>4</v>
      </c>
      <c r="C74" s="580">
        <v>30</v>
      </c>
      <c r="D74" s="575">
        <v>9.9999999999999995E-7</v>
      </c>
      <c r="E74" s="580">
        <v>-0.6</v>
      </c>
      <c r="F74" s="576" t="s">
        <v>291</v>
      </c>
      <c r="G74" s="782">
        <f t="shared" si="18"/>
        <v>0.3000005</v>
      </c>
      <c r="I74" s="453">
        <v>4</v>
      </c>
      <c r="J74" s="580">
        <v>60</v>
      </c>
      <c r="K74" s="580">
        <v>-2.1</v>
      </c>
      <c r="L74" s="580">
        <v>0.7</v>
      </c>
      <c r="M74" s="576" t="s">
        <v>291</v>
      </c>
      <c r="N74" s="782">
        <f t="shared" si="19"/>
        <v>1.4</v>
      </c>
      <c r="P74" s="453">
        <v>4</v>
      </c>
      <c r="Q74" s="580">
        <v>900</v>
      </c>
      <c r="R74" s="575">
        <v>9.9999999999999995E-7</v>
      </c>
      <c r="S74" s="580">
        <v>1</v>
      </c>
      <c r="T74" s="576" t="s">
        <v>291</v>
      </c>
      <c r="U74" s="782">
        <f t="shared" si="20"/>
        <v>0.49999949999999999</v>
      </c>
    </row>
    <row r="75" spans="1:24" x14ac:dyDescent="0.2">
      <c r="A75" s="1345"/>
      <c r="B75" s="453">
        <v>5</v>
      </c>
      <c r="C75" s="580">
        <v>35</v>
      </c>
      <c r="D75" s="575">
        <v>9.9999999999999995E-7</v>
      </c>
      <c r="E75" s="580">
        <v>-1.1000000000000001</v>
      </c>
      <c r="F75" s="576" t="s">
        <v>291</v>
      </c>
      <c r="G75" s="782">
        <f t="shared" si="18"/>
        <v>0.5500005</v>
      </c>
      <c r="I75" s="453">
        <v>5</v>
      </c>
      <c r="J75" s="580">
        <v>70</v>
      </c>
      <c r="K75" s="580">
        <v>-2.2999999999999998</v>
      </c>
      <c r="L75" s="580">
        <v>0.9</v>
      </c>
      <c r="M75" s="576" t="s">
        <v>291</v>
      </c>
      <c r="N75" s="782">
        <f t="shared" si="19"/>
        <v>1.5999999999999999</v>
      </c>
      <c r="P75" s="453">
        <v>5</v>
      </c>
      <c r="Q75" s="580">
        <v>1000</v>
      </c>
      <c r="R75" s="580">
        <v>-3.9</v>
      </c>
      <c r="S75" s="580">
        <v>-0.4</v>
      </c>
      <c r="T75" s="576" t="s">
        <v>291</v>
      </c>
      <c r="U75" s="782">
        <f t="shared" si="20"/>
        <v>1.75</v>
      </c>
    </row>
    <row r="76" spans="1:24" x14ac:dyDescent="0.2">
      <c r="A76" s="1345"/>
      <c r="B76" s="453">
        <v>6</v>
      </c>
      <c r="C76" s="580">
        <v>37</v>
      </c>
      <c r="D76" s="575">
        <v>9.9999999999999995E-7</v>
      </c>
      <c r="E76" s="580">
        <v>-1.4</v>
      </c>
      <c r="F76" s="576" t="s">
        <v>291</v>
      </c>
      <c r="G76" s="782">
        <f t="shared" si="18"/>
        <v>0.70000049999999991</v>
      </c>
      <c r="I76" s="453">
        <v>6</v>
      </c>
      <c r="J76" s="580">
        <v>80</v>
      </c>
      <c r="K76" s="580">
        <v>-2.6</v>
      </c>
      <c r="L76" s="580">
        <v>1.2</v>
      </c>
      <c r="M76" s="576" t="s">
        <v>291</v>
      </c>
      <c r="N76" s="782">
        <f t="shared" si="19"/>
        <v>1.9</v>
      </c>
      <c r="P76" s="453">
        <v>6</v>
      </c>
      <c r="Q76" s="580">
        <v>1005</v>
      </c>
      <c r="R76" s="580">
        <v>-3.8</v>
      </c>
      <c r="S76" s="580">
        <v>-0.5</v>
      </c>
      <c r="T76" s="576" t="s">
        <v>291</v>
      </c>
      <c r="U76" s="782">
        <f t="shared" si="20"/>
        <v>1.65</v>
      </c>
    </row>
    <row r="77" spans="1:24" ht="13.5" thickBot="1" x14ac:dyDescent="0.25">
      <c r="A77" s="1345"/>
      <c r="B77" s="453">
        <v>7</v>
      </c>
      <c r="C77" s="580">
        <v>40</v>
      </c>
      <c r="D77" s="580">
        <v>0.1</v>
      </c>
      <c r="E77" s="580">
        <v>-1.7</v>
      </c>
      <c r="F77" s="576" t="s">
        <v>291</v>
      </c>
      <c r="G77" s="782">
        <f t="shared" si="18"/>
        <v>0.9</v>
      </c>
      <c r="I77" s="453">
        <v>7</v>
      </c>
      <c r="J77" s="580">
        <v>90</v>
      </c>
      <c r="K77" s="580">
        <v>-3</v>
      </c>
      <c r="L77" s="580">
        <v>1.8</v>
      </c>
      <c r="M77" s="576" t="s">
        <v>291</v>
      </c>
      <c r="N77" s="782">
        <f t="shared" si="19"/>
        <v>2.4</v>
      </c>
      <c r="P77" s="453">
        <v>7</v>
      </c>
      <c r="Q77" s="580">
        <v>1020</v>
      </c>
      <c r="R77" s="580">
        <v>-3.8</v>
      </c>
      <c r="S77" s="580">
        <v>9.9999999999999995E-7</v>
      </c>
      <c r="T77" s="576" t="s">
        <v>291</v>
      </c>
      <c r="U77" s="782">
        <f t="shared" si="20"/>
        <v>1.9000005</v>
      </c>
    </row>
    <row r="78" spans="1:24" ht="13.5" thickBot="1" x14ac:dyDescent="0.25">
      <c r="A78" s="717"/>
      <c r="B78" s="709"/>
      <c r="C78" s="709"/>
      <c r="D78" s="709"/>
      <c r="E78" s="579"/>
      <c r="F78" s="709"/>
      <c r="G78" s="526"/>
      <c r="H78" s="709"/>
      <c r="I78" s="709"/>
      <c r="J78" s="709"/>
      <c r="K78" s="579"/>
      <c r="L78" s="709"/>
      <c r="O78" s="716"/>
      <c r="P78" s="529"/>
    </row>
    <row r="79" spans="1:24" x14ac:dyDescent="0.2">
      <c r="A79" s="1345">
        <v>8</v>
      </c>
      <c r="B79" s="1344" t="s">
        <v>298</v>
      </c>
      <c r="C79" s="1344"/>
      <c r="D79" s="1344"/>
      <c r="E79" s="1344"/>
      <c r="F79" s="1344"/>
      <c r="G79" s="1344"/>
      <c r="I79" s="1344" t="str">
        <f>B79</f>
        <v>KOREKSI GREISINGER 34903051</v>
      </c>
      <c r="J79" s="1344"/>
      <c r="K79" s="1344"/>
      <c r="L79" s="1344"/>
      <c r="M79" s="1344"/>
      <c r="N79" s="1344"/>
      <c r="P79" s="1344" t="str">
        <f>I79</f>
        <v>KOREKSI GREISINGER 34903051</v>
      </c>
      <c r="Q79" s="1344"/>
      <c r="R79" s="1344"/>
      <c r="S79" s="1344"/>
      <c r="T79" s="1344"/>
      <c r="U79" s="1344"/>
      <c r="W79" s="1338" t="s">
        <v>284</v>
      </c>
      <c r="X79" s="1339"/>
    </row>
    <row r="80" spans="1:24" x14ac:dyDescent="0.2">
      <c r="A80" s="1345"/>
      <c r="B80" s="1340" t="s">
        <v>285</v>
      </c>
      <c r="C80" s="1340"/>
      <c r="D80" s="1340" t="s">
        <v>286</v>
      </c>
      <c r="E80" s="1340"/>
      <c r="F80" s="1340"/>
      <c r="G80" s="1340" t="s">
        <v>287</v>
      </c>
      <c r="I80" s="1340" t="s">
        <v>288</v>
      </c>
      <c r="J80" s="1340"/>
      <c r="K80" s="1340" t="s">
        <v>286</v>
      </c>
      <c r="L80" s="1340"/>
      <c r="M80" s="1340"/>
      <c r="N80" s="1340" t="s">
        <v>287</v>
      </c>
      <c r="P80" s="1340" t="s">
        <v>289</v>
      </c>
      <c r="Q80" s="1340"/>
      <c r="R80" s="1340" t="s">
        <v>286</v>
      </c>
      <c r="S80" s="1340"/>
      <c r="T80" s="1340"/>
      <c r="U80" s="1340" t="s">
        <v>287</v>
      </c>
      <c r="W80" s="711" t="s">
        <v>285</v>
      </c>
      <c r="X80" s="712">
        <v>0.3</v>
      </c>
    </row>
    <row r="81" spans="1:24" ht="15" x14ac:dyDescent="0.2">
      <c r="A81" s="1345"/>
      <c r="B81" s="1341" t="s">
        <v>532</v>
      </c>
      <c r="C81" s="1341"/>
      <c r="D81" s="887">
        <v>2021</v>
      </c>
      <c r="E81" s="887">
        <v>2019</v>
      </c>
      <c r="F81" s="888" t="s">
        <v>291</v>
      </c>
      <c r="G81" s="1340"/>
      <c r="I81" s="1342" t="s">
        <v>22</v>
      </c>
      <c r="J81" s="1341"/>
      <c r="K81" s="887">
        <f>D81</f>
        <v>2021</v>
      </c>
      <c r="L81" s="887">
        <f>E81</f>
        <v>2019</v>
      </c>
      <c r="M81" s="887" t="str">
        <f>F81</f>
        <v>-</v>
      </c>
      <c r="N81" s="1340"/>
      <c r="P81" s="1342" t="s">
        <v>290</v>
      </c>
      <c r="Q81" s="1341"/>
      <c r="R81" s="887">
        <f>K81</f>
        <v>2021</v>
      </c>
      <c r="S81" s="887">
        <f>L81</f>
        <v>2019</v>
      </c>
      <c r="T81" s="887" t="str">
        <f>M81</f>
        <v>-</v>
      </c>
      <c r="U81" s="1340"/>
      <c r="W81" s="711" t="s">
        <v>22</v>
      </c>
      <c r="X81" s="712">
        <v>2.5</v>
      </c>
    </row>
    <row r="82" spans="1:24" ht="13.5" thickBot="1" x14ac:dyDescent="0.25">
      <c r="A82" s="1345"/>
      <c r="B82" s="453">
        <v>1</v>
      </c>
      <c r="C82" s="575">
        <v>15</v>
      </c>
      <c r="D82" s="575">
        <v>0.1</v>
      </c>
      <c r="E82" s="575">
        <v>9.9999999999999995E-7</v>
      </c>
      <c r="F82" s="576" t="s">
        <v>291</v>
      </c>
      <c r="G82" s="782">
        <f>0.5*(MAX(D82:F82)-MIN(D82:F82))</f>
        <v>4.9999500000000002E-2</v>
      </c>
      <c r="I82" s="453">
        <v>1</v>
      </c>
      <c r="J82" s="575">
        <v>30</v>
      </c>
      <c r="K82" s="575">
        <v>-4</v>
      </c>
      <c r="L82" s="575">
        <v>-1.4</v>
      </c>
      <c r="M82" s="576" t="s">
        <v>291</v>
      </c>
      <c r="N82" s="782">
        <f>0.5*(MAX(K82:M82)-MIN(K82:M82))</f>
        <v>1.3</v>
      </c>
      <c r="P82" s="453">
        <v>1</v>
      </c>
      <c r="Q82" s="575">
        <v>750</v>
      </c>
      <c r="R82" s="576">
        <v>9.9999999999999995E-7</v>
      </c>
      <c r="S82" s="576">
        <v>9.9999999999999995E-7</v>
      </c>
      <c r="T82" s="576" t="s">
        <v>291</v>
      </c>
      <c r="U82" s="782">
        <f>0.5*(MAX(R82:T82)-MIN(R82:T82))</f>
        <v>0</v>
      </c>
      <c r="W82" s="713" t="s">
        <v>290</v>
      </c>
      <c r="X82" s="714">
        <v>2.1</v>
      </c>
    </row>
    <row r="83" spans="1:24" x14ac:dyDescent="0.2">
      <c r="A83" s="1345"/>
      <c r="B83" s="453">
        <v>2</v>
      </c>
      <c r="C83" s="575">
        <v>20</v>
      </c>
      <c r="D83" s="575">
        <v>9.9999999999999995E-7</v>
      </c>
      <c r="E83" s="575">
        <v>-0.2</v>
      </c>
      <c r="F83" s="576" t="s">
        <v>291</v>
      </c>
      <c r="G83" s="782">
        <f t="shared" ref="G83:G88" si="21">0.5*(MAX(D83:F83)-MIN(D83:F83))</f>
        <v>0.10000050000000001</v>
      </c>
      <c r="I83" s="453">
        <v>2</v>
      </c>
      <c r="J83" s="575">
        <v>40</v>
      </c>
      <c r="K83" s="575">
        <v>-3.8</v>
      </c>
      <c r="L83" s="575">
        <v>-1.2</v>
      </c>
      <c r="M83" s="576" t="s">
        <v>291</v>
      </c>
      <c r="N83" s="782">
        <f t="shared" ref="N83:N88" si="22">0.5*(MAX(K83:M83)-MIN(K83:M83))</f>
        <v>1.2999999999999998</v>
      </c>
      <c r="P83" s="453">
        <v>2</v>
      </c>
      <c r="Q83" s="575">
        <v>800</v>
      </c>
      <c r="R83" s="576">
        <v>9.9999999999999995E-7</v>
      </c>
      <c r="S83" s="576">
        <v>9.9999999999999995E-7</v>
      </c>
      <c r="T83" s="576" t="s">
        <v>291</v>
      </c>
      <c r="U83" s="782">
        <f t="shared" ref="U83:U88" si="23">0.5*(MAX(R83:T83)-MIN(R83:T83))</f>
        <v>0</v>
      </c>
    </row>
    <row r="84" spans="1:24" x14ac:dyDescent="0.2">
      <c r="A84" s="1345"/>
      <c r="B84" s="453">
        <v>3</v>
      </c>
      <c r="C84" s="575">
        <v>25</v>
      </c>
      <c r="D84" s="575">
        <v>-0.1</v>
      </c>
      <c r="E84" s="575">
        <v>-0.4</v>
      </c>
      <c r="F84" s="576" t="s">
        <v>291</v>
      </c>
      <c r="G84" s="782">
        <f t="shared" si="21"/>
        <v>0.15000000000000002</v>
      </c>
      <c r="I84" s="453">
        <v>3</v>
      </c>
      <c r="J84" s="575">
        <v>50</v>
      </c>
      <c r="K84" s="575">
        <v>-3.8</v>
      </c>
      <c r="L84" s="575">
        <v>-1.2</v>
      </c>
      <c r="M84" s="576" t="s">
        <v>291</v>
      </c>
      <c r="N84" s="782">
        <f t="shared" si="22"/>
        <v>1.2999999999999998</v>
      </c>
      <c r="P84" s="453">
        <v>3</v>
      </c>
      <c r="Q84" s="575">
        <v>850</v>
      </c>
      <c r="R84" s="576">
        <v>9.9999999999999995E-7</v>
      </c>
      <c r="S84" s="576">
        <v>9.9999999999999995E-7</v>
      </c>
      <c r="T84" s="576" t="s">
        <v>291</v>
      </c>
      <c r="U84" s="782">
        <f t="shared" si="23"/>
        <v>0</v>
      </c>
    </row>
    <row r="85" spans="1:24" x14ac:dyDescent="0.2">
      <c r="A85" s="1345"/>
      <c r="B85" s="453">
        <v>4</v>
      </c>
      <c r="C85" s="580">
        <v>30</v>
      </c>
      <c r="D85" s="575">
        <v>-0.2</v>
      </c>
      <c r="E85" s="575">
        <v>-0.4</v>
      </c>
      <c r="F85" s="576" t="s">
        <v>291</v>
      </c>
      <c r="G85" s="782">
        <f t="shared" si="21"/>
        <v>0.1</v>
      </c>
      <c r="I85" s="453">
        <v>4</v>
      </c>
      <c r="J85" s="580">
        <v>60</v>
      </c>
      <c r="K85" s="580">
        <v>-3.9</v>
      </c>
      <c r="L85" s="580">
        <v>-1.1000000000000001</v>
      </c>
      <c r="M85" s="576" t="s">
        <v>291</v>
      </c>
      <c r="N85" s="782">
        <f t="shared" si="22"/>
        <v>1.4</v>
      </c>
      <c r="P85" s="453">
        <v>4</v>
      </c>
      <c r="Q85" s="580">
        <v>900</v>
      </c>
      <c r="R85" s="577">
        <v>-4.4000000000000004</v>
      </c>
      <c r="S85" s="576">
        <v>9.9999999999999995E-7</v>
      </c>
      <c r="T85" s="576" t="s">
        <v>291</v>
      </c>
      <c r="U85" s="782">
        <f t="shared" si="23"/>
        <v>2.2000005000000002</v>
      </c>
    </row>
    <row r="86" spans="1:24" x14ac:dyDescent="0.2">
      <c r="A86" s="1345"/>
      <c r="B86" s="453">
        <v>5</v>
      </c>
      <c r="C86" s="580">
        <v>35</v>
      </c>
      <c r="D86" s="580">
        <v>-0.1</v>
      </c>
      <c r="E86" s="580">
        <v>-0.5</v>
      </c>
      <c r="F86" s="576" t="s">
        <v>291</v>
      </c>
      <c r="G86" s="782">
        <f t="shared" si="21"/>
        <v>0.2</v>
      </c>
      <c r="I86" s="453">
        <v>5</v>
      </c>
      <c r="J86" s="580">
        <v>70</v>
      </c>
      <c r="K86" s="580">
        <v>-4.0999999999999996</v>
      </c>
      <c r="L86" s="580">
        <v>-1.2</v>
      </c>
      <c r="M86" s="576" t="s">
        <v>291</v>
      </c>
      <c r="N86" s="782">
        <f t="shared" si="22"/>
        <v>1.4499999999999997</v>
      </c>
      <c r="P86" s="453">
        <v>5</v>
      </c>
      <c r="Q86" s="580">
        <v>1000</v>
      </c>
      <c r="R86" s="577">
        <v>-3.5</v>
      </c>
      <c r="S86" s="577">
        <v>0.2</v>
      </c>
      <c r="T86" s="576" t="s">
        <v>291</v>
      </c>
      <c r="U86" s="782">
        <f t="shared" si="23"/>
        <v>1.85</v>
      </c>
    </row>
    <row r="87" spans="1:24" x14ac:dyDescent="0.2">
      <c r="A87" s="1345"/>
      <c r="B87" s="453">
        <v>6</v>
      </c>
      <c r="C87" s="580">
        <v>37</v>
      </c>
      <c r="D87" s="580">
        <v>-0.1</v>
      </c>
      <c r="E87" s="580">
        <v>-0.5</v>
      </c>
      <c r="F87" s="576" t="s">
        <v>291</v>
      </c>
      <c r="G87" s="782">
        <f t="shared" si="21"/>
        <v>0.2</v>
      </c>
      <c r="I87" s="453">
        <v>6</v>
      </c>
      <c r="J87" s="580">
        <v>80</v>
      </c>
      <c r="K87" s="580">
        <v>-4.5</v>
      </c>
      <c r="L87" s="580">
        <v>-1.2</v>
      </c>
      <c r="M87" s="576" t="s">
        <v>291</v>
      </c>
      <c r="N87" s="782">
        <f t="shared" si="22"/>
        <v>1.65</v>
      </c>
      <c r="P87" s="453">
        <v>6</v>
      </c>
      <c r="Q87" s="580">
        <v>1005</v>
      </c>
      <c r="R87" s="577">
        <v>-3.4</v>
      </c>
      <c r="S87" s="577">
        <v>0.2</v>
      </c>
      <c r="T87" s="576" t="s">
        <v>291</v>
      </c>
      <c r="U87" s="782">
        <f t="shared" si="23"/>
        <v>1.8</v>
      </c>
    </row>
    <row r="88" spans="1:24" x14ac:dyDescent="0.2">
      <c r="A88" s="1345"/>
      <c r="B88" s="453">
        <v>7</v>
      </c>
      <c r="C88" s="580">
        <v>40</v>
      </c>
      <c r="D88" s="580">
        <v>9.9999999999999995E-7</v>
      </c>
      <c r="E88" s="580">
        <v>-0.4</v>
      </c>
      <c r="F88" s="576" t="s">
        <v>291</v>
      </c>
      <c r="G88" s="782">
        <f t="shared" si="21"/>
        <v>0.2000005</v>
      </c>
      <c r="I88" s="453">
        <v>7</v>
      </c>
      <c r="J88" s="580">
        <v>90</v>
      </c>
      <c r="K88" s="580">
        <v>-4.9000000000000004</v>
      </c>
      <c r="L88" s="580">
        <v>-1.3</v>
      </c>
      <c r="M88" s="576" t="s">
        <v>291</v>
      </c>
      <c r="N88" s="782">
        <f t="shared" si="22"/>
        <v>1.8000000000000003</v>
      </c>
      <c r="P88" s="453">
        <v>7</v>
      </c>
      <c r="Q88" s="580">
        <v>1020</v>
      </c>
      <c r="R88" s="577">
        <v>-3.4</v>
      </c>
      <c r="S88" s="577">
        <v>9.9999999999999995E-7</v>
      </c>
      <c r="T88" s="576" t="s">
        <v>291</v>
      </c>
      <c r="U88" s="782">
        <f t="shared" si="23"/>
        <v>1.7000005</v>
      </c>
    </row>
    <row r="89" spans="1:24" ht="13.5" thickBot="1" x14ac:dyDescent="0.25">
      <c r="A89" s="717"/>
      <c r="B89" s="709"/>
      <c r="C89" s="709"/>
      <c r="D89" s="709"/>
      <c r="E89" s="579"/>
      <c r="G89" s="709"/>
      <c r="I89" s="709"/>
      <c r="J89" s="709"/>
      <c r="K89" s="709"/>
      <c r="L89" s="579"/>
      <c r="N89" s="709"/>
      <c r="R89" s="529"/>
    </row>
    <row r="90" spans="1:24" x14ac:dyDescent="0.2">
      <c r="A90" s="1345">
        <v>9</v>
      </c>
      <c r="B90" s="1344" t="s">
        <v>299</v>
      </c>
      <c r="C90" s="1344"/>
      <c r="D90" s="1344"/>
      <c r="E90" s="1344"/>
      <c r="F90" s="1344"/>
      <c r="G90" s="1344"/>
      <c r="I90" s="1344" t="str">
        <f>B90</f>
        <v>KOREKSI GREISINGER 34904091</v>
      </c>
      <c r="J90" s="1344"/>
      <c r="K90" s="1344"/>
      <c r="L90" s="1344"/>
      <c r="M90" s="1344"/>
      <c r="N90" s="1344"/>
      <c r="P90" s="1344" t="str">
        <f>I90</f>
        <v>KOREKSI GREISINGER 34904091</v>
      </c>
      <c r="Q90" s="1344"/>
      <c r="R90" s="1344"/>
      <c r="S90" s="1344"/>
      <c r="T90" s="1344"/>
      <c r="U90" s="1344"/>
      <c r="W90" s="1338" t="s">
        <v>284</v>
      </c>
      <c r="X90" s="1339"/>
    </row>
    <row r="91" spans="1:24" x14ac:dyDescent="0.2">
      <c r="A91" s="1345"/>
      <c r="B91" s="1340" t="s">
        <v>285</v>
      </c>
      <c r="C91" s="1340"/>
      <c r="D91" s="1340" t="s">
        <v>286</v>
      </c>
      <c r="E91" s="1340"/>
      <c r="F91" s="1340"/>
      <c r="G91" s="1340" t="s">
        <v>287</v>
      </c>
      <c r="I91" s="1340" t="s">
        <v>288</v>
      </c>
      <c r="J91" s="1340"/>
      <c r="K91" s="1340" t="s">
        <v>286</v>
      </c>
      <c r="L91" s="1340"/>
      <c r="M91" s="1340"/>
      <c r="N91" s="1340" t="s">
        <v>287</v>
      </c>
      <c r="P91" s="1340" t="s">
        <v>289</v>
      </c>
      <c r="Q91" s="1340"/>
      <c r="R91" s="1340" t="s">
        <v>286</v>
      </c>
      <c r="S91" s="1340"/>
      <c r="T91" s="1340"/>
      <c r="U91" s="1340" t="s">
        <v>287</v>
      </c>
      <c r="W91" s="711" t="s">
        <v>285</v>
      </c>
      <c r="X91" s="712">
        <v>0.3</v>
      </c>
    </row>
    <row r="92" spans="1:24" ht="15" x14ac:dyDescent="0.2">
      <c r="A92" s="1345"/>
      <c r="B92" s="1341" t="s">
        <v>532</v>
      </c>
      <c r="C92" s="1341"/>
      <c r="D92" s="887">
        <v>2019</v>
      </c>
      <c r="E92" s="888" t="s">
        <v>291</v>
      </c>
      <c r="F92" s="888" t="s">
        <v>291</v>
      </c>
      <c r="G92" s="1340"/>
      <c r="I92" s="1342" t="s">
        <v>22</v>
      </c>
      <c r="J92" s="1341"/>
      <c r="K92" s="887">
        <f>D92</f>
        <v>2019</v>
      </c>
      <c r="L92" s="887" t="str">
        <f>E92</f>
        <v>-</v>
      </c>
      <c r="M92" s="887" t="str">
        <f>F92</f>
        <v>-</v>
      </c>
      <c r="N92" s="1340"/>
      <c r="P92" s="1342" t="s">
        <v>290</v>
      </c>
      <c r="Q92" s="1341"/>
      <c r="R92" s="887">
        <f>K92</f>
        <v>2019</v>
      </c>
      <c r="S92" s="887" t="str">
        <f>L92</f>
        <v>-</v>
      </c>
      <c r="T92" s="887" t="str">
        <f>M92</f>
        <v>-</v>
      </c>
      <c r="U92" s="1340"/>
      <c r="W92" s="711" t="s">
        <v>22</v>
      </c>
      <c r="X92" s="712">
        <v>2.4</v>
      </c>
    </row>
    <row r="93" spans="1:24" ht="13.5" thickBot="1" x14ac:dyDescent="0.25">
      <c r="A93" s="1345"/>
      <c r="B93" s="453">
        <v>1</v>
      </c>
      <c r="C93" s="575">
        <v>15</v>
      </c>
      <c r="D93" s="575">
        <v>9.9999999999999995E-7</v>
      </c>
      <c r="E93" s="575" t="s">
        <v>291</v>
      </c>
      <c r="F93" s="576" t="s">
        <v>291</v>
      </c>
      <c r="G93" s="782">
        <f>0.5*(MAX(D93:F93)-MIN(D93:F93))</f>
        <v>0</v>
      </c>
      <c r="I93" s="453">
        <v>1</v>
      </c>
      <c r="J93" s="575">
        <v>30</v>
      </c>
      <c r="K93" s="575">
        <v>-1.2</v>
      </c>
      <c r="L93" s="575" t="s">
        <v>291</v>
      </c>
      <c r="M93" s="576" t="s">
        <v>291</v>
      </c>
      <c r="N93" s="782">
        <f>0.5*(MAX(K93:M93)-MIN(K93:M93))</f>
        <v>0</v>
      </c>
      <c r="P93" s="453">
        <v>1</v>
      </c>
      <c r="Q93" s="575">
        <v>750</v>
      </c>
      <c r="R93" s="576">
        <v>9.9999999999999995E-7</v>
      </c>
      <c r="S93" s="576" t="s">
        <v>291</v>
      </c>
      <c r="T93" s="576" t="s">
        <v>291</v>
      </c>
      <c r="U93" s="782">
        <f>0.5*(MAX(R93:T93)-MIN(R93:T93))</f>
        <v>0</v>
      </c>
      <c r="W93" s="713" t="s">
        <v>290</v>
      </c>
      <c r="X93" s="714">
        <v>2.2000000000000002</v>
      </c>
    </row>
    <row r="94" spans="1:24" x14ac:dyDescent="0.2">
      <c r="A94" s="1345"/>
      <c r="B94" s="453">
        <v>2</v>
      </c>
      <c r="C94" s="575">
        <v>20</v>
      </c>
      <c r="D94" s="575">
        <v>-0.2</v>
      </c>
      <c r="E94" s="575" t="s">
        <v>291</v>
      </c>
      <c r="F94" s="576" t="s">
        <v>291</v>
      </c>
      <c r="G94" s="782">
        <f t="shared" ref="G94:G99" si="24">0.5*(MAX(D94:F94)-MIN(D94:F94))</f>
        <v>0</v>
      </c>
      <c r="I94" s="453">
        <v>2</v>
      </c>
      <c r="J94" s="575">
        <v>40</v>
      </c>
      <c r="K94" s="575">
        <v>-1</v>
      </c>
      <c r="L94" s="575" t="s">
        <v>291</v>
      </c>
      <c r="M94" s="576" t="s">
        <v>291</v>
      </c>
      <c r="N94" s="782">
        <f t="shared" ref="N94:N99" si="25">0.5*(MAX(K94:M94)-MIN(K94:M94))</f>
        <v>0</v>
      </c>
      <c r="P94" s="453">
        <v>2</v>
      </c>
      <c r="Q94" s="575">
        <v>800</v>
      </c>
      <c r="R94" s="576">
        <v>9.9999999999999995E-7</v>
      </c>
      <c r="S94" s="576" t="s">
        <v>291</v>
      </c>
      <c r="T94" s="576" t="s">
        <v>291</v>
      </c>
      <c r="U94" s="782">
        <f t="shared" ref="U94:U99" si="26">0.5*(MAX(R94:T94)-MIN(R94:T94))</f>
        <v>0</v>
      </c>
    </row>
    <row r="95" spans="1:24" x14ac:dyDescent="0.2">
      <c r="A95" s="1345"/>
      <c r="B95" s="453">
        <v>3</v>
      </c>
      <c r="C95" s="575">
        <v>25</v>
      </c>
      <c r="D95" s="575">
        <v>-0.4</v>
      </c>
      <c r="E95" s="575" t="s">
        <v>291</v>
      </c>
      <c r="F95" s="576" t="s">
        <v>291</v>
      </c>
      <c r="G95" s="782">
        <f t="shared" si="24"/>
        <v>0</v>
      </c>
      <c r="I95" s="453">
        <v>3</v>
      </c>
      <c r="J95" s="575">
        <v>50</v>
      </c>
      <c r="K95" s="575">
        <v>-0.9</v>
      </c>
      <c r="L95" s="575" t="s">
        <v>291</v>
      </c>
      <c r="M95" s="576" t="s">
        <v>291</v>
      </c>
      <c r="N95" s="782">
        <f t="shared" si="25"/>
        <v>0</v>
      </c>
      <c r="P95" s="453">
        <v>3</v>
      </c>
      <c r="Q95" s="575">
        <v>850</v>
      </c>
      <c r="R95" s="576">
        <v>9.9999999999999995E-7</v>
      </c>
      <c r="S95" s="576" t="s">
        <v>291</v>
      </c>
      <c r="T95" s="576" t="s">
        <v>291</v>
      </c>
      <c r="U95" s="782">
        <f t="shared" si="26"/>
        <v>0</v>
      </c>
    </row>
    <row r="96" spans="1:24" x14ac:dyDescent="0.2">
      <c r="A96" s="1345"/>
      <c r="B96" s="453">
        <v>4</v>
      </c>
      <c r="C96" s="580">
        <v>30</v>
      </c>
      <c r="D96" s="575">
        <v>-0.5</v>
      </c>
      <c r="E96" s="577" t="s">
        <v>291</v>
      </c>
      <c r="F96" s="576" t="s">
        <v>291</v>
      </c>
      <c r="G96" s="782">
        <f t="shared" si="24"/>
        <v>0</v>
      </c>
      <c r="I96" s="453">
        <v>4</v>
      </c>
      <c r="J96" s="580">
        <v>60</v>
      </c>
      <c r="K96" s="575">
        <v>-0.8</v>
      </c>
      <c r="L96" s="577" t="s">
        <v>291</v>
      </c>
      <c r="M96" s="576" t="s">
        <v>291</v>
      </c>
      <c r="N96" s="782">
        <f t="shared" si="25"/>
        <v>0</v>
      </c>
      <c r="P96" s="453">
        <v>4</v>
      </c>
      <c r="Q96" s="580">
        <v>900</v>
      </c>
      <c r="R96" s="576">
        <v>9.9999999999999995E-7</v>
      </c>
      <c r="S96" s="577" t="s">
        <v>291</v>
      </c>
      <c r="T96" s="576" t="s">
        <v>291</v>
      </c>
      <c r="U96" s="782">
        <f t="shared" si="26"/>
        <v>0</v>
      </c>
    </row>
    <row r="97" spans="1:28" x14ac:dyDescent="0.2">
      <c r="A97" s="1345"/>
      <c r="B97" s="453">
        <v>5</v>
      </c>
      <c r="C97" s="580">
        <v>35</v>
      </c>
      <c r="D97" s="575">
        <v>-0.5</v>
      </c>
      <c r="E97" s="577" t="s">
        <v>291</v>
      </c>
      <c r="F97" s="576" t="s">
        <v>291</v>
      </c>
      <c r="G97" s="782">
        <f t="shared" si="24"/>
        <v>0</v>
      </c>
      <c r="I97" s="453">
        <v>5</v>
      </c>
      <c r="J97" s="580">
        <v>70</v>
      </c>
      <c r="K97" s="575">
        <v>-0.6</v>
      </c>
      <c r="L97" s="577" t="s">
        <v>291</v>
      </c>
      <c r="M97" s="576" t="s">
        <v>291</v>
      </c>
      <c r="N97" s="782">
        <f t="shared" si="25"/>
        <v>0</v>
      </c>
      <c r="P97" s="453">
        <v>5</v>
      </c>
      <c r="Q97" s="580">
        <v>1000</v>
      </c>
      <c r="R97" s="577">
        <v>0.2</v>
      </c>
      <c r="S97" s="577" t="s">
        <v>291</v>
      </c>
      <c r="T97" s="576" t="s">
        <v>291</v>
      </c>
      <c r="U97" s="782">
        <f t="shared" si="26"/>
        <v>0</v>
      </c>
    </row>
    <row r="98" spans="1:28" x14ac:dyDescent="0.2">
      <c r="A98" s="1345"/>
      <c r="B98" s="453">
        <v>6</v>
      </c>
      <c r="C98" s="580">
        <v>37</v>
      </c>
      <c r="D98" s="575">
        <v>-0.5</v>
      </c>
      <c r="E98" s="577" t="s">
        <v>291</v>
      </c>
      <c r="F98" s="576" t="s">
        <v>291</v>
      </c>
      <c r="G98" s="782">
        <f t="shared" si="24"/>
        <v>0</v>
      </c>
      <c r="I98" s="453">
        <v>6</v>
      </c>
      <c r="J98" s="580">
        <v>80</v>
      </c>
      <c r="K98" s="575">
        <v>-0.5</v>
      </c>
      <c r="L98" s="577" t="s">
        <v>291</v>
      </c>
      <c r="M98" s="576" t="s">
        <v>291</v>
      </c>
      <c r="N98" s="782">
        <f t="shared" si="25"/>
        <v>0</v>
      </c>
      <c r="P98" s="453">
        <v>6</v>
      </c>
      <c r="Q98" s="580">
        <v>1005</v>
      </c>
      <c r="R98" s="577">
        <v>0.2</v>
      </c>
      <c r="S98" s="577" t="s">
        <v>291</v>
      </c>
      <c r="T98" s="576" t="s">
        <v>291</v>
      </c>
      <c r="U98" s="782">
        <f t="shared" si="26"/>
        <v>0</v>
      </c>
    </row>
    <row r="99" spans="1:28" x14ac:dyDescent="0.2">
      <c r="A99" s="1345"/>
      <c r="B99" s="453">
        <v>7</v>
      </c>
      <c r="C99" s="580">
        <v>40</v>
      </c>
      <c r="D99" s="575">
        <v>-0.4</v>
      </c>
      <c r="E99" s="577" t="s">
        <v>291</v>
      </c>
      <c r="F99" s="576" t="s">
        <v>291</v>
      </c>
      <c r="G99" s="782">
        <f t="shared" si="24"/>
        <v>0</v>
      </c>
      <c r="I99" s="453">
        <v>7</v>
      </c>
      <c r="J99" s="580">
        <v>90</v>
      </c>
      <c r="K99" s="575">
        <v>-0.2</v>
      </c>
      <c r="L99" s="577" t="s">
        <v>291</v>
      </c>
      <c r="M99" s="576" t="s">
        <v>291</v>
      </c>
      <c r="N99" s="782">
        <f t="shared" si="25"/>
        <v>0</v>
      </c>
      <c r="P99" s="453">
        <v>7</v>
      </c>
      <c r="Q99" s="580">
        <v>1020</v>
      </c>
      <c r="R99" s="577">
        <v>9.9999999999999995E-7</v>
      </c>
      <c r="S99" s="577" t="s">
        <v>291</v>
      </c>
      <c r="T99" s="576" t="s">
        <v>291</v>
      </c>
      <c r="U99" s="782">
        <f t="shared" si="26"/>
        <v>0</v>
      </c>
    </row>
    <row r="100" spans="1:28" ht="13.5" thickBot="1" x14ac:dyDescent="0.25">
      <c r="A100" s="717"/>
      <c r="B100" s="709"/>
      <c r="C100" s="709"/>
      <c r="D100" s="709"/>
      <c r="E100" s="579"/>
      <c r="G100" s="709"/>
      <c r="I100" s="709"/>
      <c r="J100" s="709"/>
      <c r="K100" s="709"/>
      <c r="L100" s="579"/>
      <c r="N100" s="709"/>
      <c r="R100" s="529"/>
      <c r="AB100" s="526"/>
    </row>
    <row r="101" spans="1:28" x14ac:dyDescent="0.2">
      <c r="A101" s="1345">
        <v>10</v>
      </c>
      <c r="B101" s="1344" t="s">
        <v>300</v>
      </c>
      <c r="C101" s="1344"/>
      <c r="D101" s="1344"/>
      <c r="E101" s="1344"/>
      <c r="F101" s="1344"/>
      <c r="G101" s="1344"/>
      <c r="I101" s="1344" t="str">
        <f>B101</f>
        <v>KOREKSI Sekonic HE-21.000669</v>
      </c>
      <c r="J101" s="1344"/>
      <c r="K101" s="1344"/>
      <c r="L101" s="1344"/>
      <c r="M101" s="1344"/>
      <c r="N101" s="1344"/>
      <c r="P101" s="1344" t="str">
        <f>I101</f>
        <v>KOREKSI Sekonic HE-21.000669</v>
      </c>
      <c r="Q101" s="1344"/>
      <c r="R101" s="1344"/>
      <c r="S101" s="1344"/>
      <c r="T101" s="1344"/>
      <c r="U101" s="1344"/>
      <c r="W101" s="1338" t="s">
        <v>284</v>
      </c>
      <c r="X101" s="1339"/>
    </row>
    <row r="102" spans="1:28" x14ac:dyDescent="0.2">
      <c r="A102" s="1345"/>
      <c r="B102" s="1340" t="s">
        <v>285</v>
      </c>
      <c r="C102" s="1340"/>
      <c r="D102" s="1340" t="s">
        <v>286</v>
      </c>
      <c r="E102" s="1340"/>
      <c r="F102" s="1340"/>
      <c r="G102" s="1340" t="s">
        <v>287</v>
      </c>
      <c r="I102" s="1340" t="s">
        <v>288</v>
      </c>
      <c r="J102" s="1340"/>
      <c r="K102" s="1340" t="s">
        <v>286</v>
      </c>
      <c r="L102" s="1340"/>
      <c r="M102" s="1340"/>
      <c r="N102" s="1340" t="s">
        <v>287</v>
      </c>
      <c r="P102" s="1340" t="s">
        <v>289</v>
      </c>
      <c r="Q102" s="1340"/>
      <c r="R102" s="1340" t="s">
        <v>286</v>
      </c>
      <c r="S102" s="1340"/>
      <c r="T102" s="1340"/>
      <c r="U102" s="1340" t="s">
        <v>287</v>
      </c>
      <c r="W102" s="711" t="s">
        <v>285</v>
      </c>
      <c r="X102" s="712">
        <v>0.3</v>
      </c>
    </row>
    <row r="103" spans="1:28" ht="15" x14ac:dyDescent="0.2">
      <c r="A103" s="1345"/>
      <c r="B103" s="1341" t="s">
        <v>532</v>
      </c>
      <c r="C103" s="1341"/>
      <c r="D103" s="887">
        <v>2019</v>
      </c>
      <c r="E103" s="887">
        <v>2016</v>
      </c>
      <c r="F103" s="888" t="s">
        <v>291</v>
      </c>
      <c r="G103" s="1340"/>
      <c r="I103" s="1342" t="s">
        <v>22</v>
      </c>
      <c r="J103" s="1341"/>
      <c r="K103" s="887">
        <f>D103</f>
        <v>2019</v>
      </c>
      <c r="L103" s="887">
        <f>E103</f>
        <v>2016</v>
      </c>
      <c r="M103" s="887" t="str">
        <f>F103</f>
        <v>-</v>
      </c>
      <c r="N103" s="1340"/>
      <c r="P103" s="1342" t="s">
        <v>290</v>
      </c>
      <c r="Q103" s="1341"/>
      <c r="R103" s="887">
        <f>K103</f>
        <v>2019</v>
      </c>
      <c r="S103" s="887">
        <f>L103</f>
        <v>2016</v>
      </c>
      <c r="T103" s="887" t="str">
        <f>M103</f>
        <v>-</v>
      </c>
      <c r="U103" s="1340"/>
      <c r="W103" s="711" t="s">
        <v>22</v>
      </c>
      <c r="X103" s="712">
        <v>1.5</v>
      </c>
    </row>
    <row r="104" spans="1:28" ht="13.5" thickBot="1" x14ac:dyDescent="0.25">
      <c r="A104" s="1345"/>
      <c r="B104" s="453">
        <v>1</v>
      </c>
      <c r="C104" s="575">
        <v>15</v>
      </c>
      <c r="D104" s="575">
        <v>0.2</v>
      </c>
      <c r="E104" s="575">
        <v>0.2</v>
      </c>
      <c r="F104" s="576" t="s">
        <v>291</v>
      </c>
      <c r="G104" s="782">
        <f>0.5*(MAX(D104:F104)-MIN(D104:F104))</f>
        <v>0</v>
      </c>
      <c r="I104" s="453">
        <v>1</v>
      </c>
      <c r="J104" s="575">
        <v>30</v>
      </c>
      <c r="K104" s="575">
        <v>-2.9</v>
      </c>
      <c r="L104" s="575">
        <v>-5.8</v>
      </c>
      <c r="M104" s="576" t="s">
        <v>291</v>
      </c>
      <c r="N104" s="782">
        <f>0.5*(MAX(K104:M104)-MIN(K104:M104))</f>
        <v>1.45</v>
      </c>
      <c r="P104" s="453">
        <v>1</v>
      </c>
      <c r="Q104" s="575">
        <v>750</v>
      </c>
      <c r="R104" s="576" t="s">
        <v>291</v>
      </c>
      <c r="S104" s="576" t="s">
        <v>291</v>
      </c>
      <c r="T104" s="576" t="s">
        <v>291</v>
      </c>
      <c r="U104" s="782">
        <f>0.5*(MAX(R104:T104)-MIN(R104:T104))</f>
        <v>0</v>
      </c>
      <c r="W104" s="713" t="s">
        <v>290</v>
      </c>
      <c r="X104" s="714">
        <v>0</v>
      </c>
    </row>
    <row r="105" spans="1:28" x14ac:dyDescent="0.2">
      <c r="A105" s="1345"/>
      <c r="B105" s="453">
        <v>2</v>
      </c>
      <c r="C105" s="575">
        <v>20</v>
      </c>
      <c r="D105" s="575">
        <v>0.2</v>
      </c>
      <c r="E105" s="575">
        <v>-0.7</v>
      </c>
      <c r="F105" s="576" t="s">
        <v>291</v>
      </c>
      <c r="G105" s="782">
        <f t="shared" ref="G105:G110" si="27">0.5*(MAX(D105:F105)-MIN(D105:F105))</f>
        <v>0.44999999999999996</v>
      </c>
      <c r="I105" s="453">
        <v>2</v>
      </c>
      <c r="J105" s="575">
        <v>40</v>
      </c>
      <c r="K105" s="575">
        <v>-3.3</v>
      </c>
      <c r="L105" s="575">
        <v>-6.4</v>
      </c>
      <c r="M105" s="576" t="s">
        <v>291</v>
      </c>
      <c r="N105" s="782">
        <f t="shared" ref="N105:N110" si="28">0.5*(MAX(K105:M105)-MIN(K105:M105))</f>
        <v>1.5500000000000003</v>
      </c>
      <c r="P105" s="453">
        <v>2</v>
      </c>
      <c r="Q105" s="575">
        <v>800</v>
      </c>
      <c r="R105" s="576" t="s">
        <v>291</v>
      </c>
      <c r="S105" s="576" t="s">
        <v>291</v>
      </c>
      <c r="T105" s="576" t="s">
        <v>291</v>
      </c>
      <c r="U105" s="782">
        <f t="shared" ref="U105:U110" si="29">0.5*(MAX(R105:T105)-MIN(R105:T105))</f>
        <v>0</v>
      </c>
    </row>
    <row r="106" spans="1:28" x14ac:dyDescent="0.2">
      <c r="A106" s="1345"/>
      <c r="B106" s="453">
        <v>3</v>
      </c>
      <c r="C106" s="575">
        <v>25</v>
      </c>
      <c r="D106" s="575">
        <v>0.1</v>
      </c>
      <c r="E106" s="575">
        <v>-0.5</v>
      </c>
      <c r="F106" s="576" t="s">
        <v>291</v>
      </c>
      <c r="G106" s="782">
        <f t="shared" si="27"/>
        <v>0.3</v>
      </c>
      <c r="I106" s="453">
        <v>3</v>
      </c>
      <c r="J106" s="575">
        <v>50</v>
      </c>
      <c r="K106" s="575">
        <v>-3.1</v>
      </c>
      <c r="L106" s="575">
        <v>-6.1</v>
      </c>
      <c r="M106" s="576" t="s">
        <v>291</v>
      </c>
      <c r="N106" s="782">
        <f t="shared" si="28"/>
        <v>1.4999999999999998</v>
      </c>
      <c r="P106" s="453">
        <v>3</v>
      </c>
      <c r="Q106" s="575">
        <v>850</v>
      </c>
      <c r="R106" s="576" t="s">
        <v>291</v>
      </c>
      <c r="S106" s="576" t="s">
        <v>291</v>
      </c>
      <c r="T106" s="576" t="s">
        <v>291</v>
      </c>
      <c r="U106" s="782">
        <f t="shared" si="29"/>
        <v>0</v>
      </c>
    </row>
    <row r="107" spans="1:28" x14ac:dyDescent="0.2">
      <c r="A107" s="1345"/>
      <c r="B107" s="453">
        <v>4</v>
      </c>
      <c r="C107" s="580">
        <v>30</v>
      </c>
      <c r="D107" s="580">
        <v>0.1</v>
      </c>
      <c r="E107" s="580">
        <v>0.2</v>
      </c>
      <c r="F107" s="576" t="s">
        <v>291</v>
      </c>
      <c r="G107" s="782">
        <f t="shared" si="27"/>
        <v>0.05</v>
      </c>
      <c r="I107" s="453">
        <v>4</v>
      </c>
      <c r="J107" s="580">
        <v>60</v>
      </c>
      <c r="K107" s="580">
        <v>-2.1</v>
      </c>
      <c r="L107" s="580">
        <v>-5.6</v>
      </c>
      <c r="M107" s="576" t="s">
        <v>291</v>
      </c>
      <c r="N107" s="782">
        <f t="shared" si="28"/>
        <v>1.7499999999999998</v>
      </c>
      <c r="P107" s="453">
        <v>4</v>
      </c>
      <c r="Q107" s="580">
        <v>900</v>
      </c>
      <c r="R107" s="577" t="s">
        <v>291</v>
      </c>
      <c r="S107" s="577" t="s">
        <v>291</v>
      </c>
      <c r="T107" s="576" t="s">
        <v>291</v>
      </c>
      <c r="U107" s="782">
        <f t="shared" si="29"/>
        <v>0</v>
      </c>
    </row>
    <row r="108" spans="1:28" x14ac:dyDescent="0.2">
      <c r="A108" s="1345"/>
      <c r="B108" s="453">
        <v>5</v>
      </c>
      <c r="C108" s="580">
        <v>35</v>
      </c>
      <c r="D108" s="580">
        <v>0.2</v>
      </c>
      <c r="E108" s="580">
        <v>0.8</v>
      </c>
      <c r="F108" s="576" t="s">
        <v>291</v>
      </c>
      <c r="G108" s="782">
        <f t="shared" si="27"/>
        <v>0.30000000000000004</v>
      </c>
      <c r="I108" s="453">
        <v>5</v>
      </c>
      <c r="J108" s="580">
        <v>70</v>
      </c>
      <c r="K108" s="580">
        <v>-0.3</v>
      </c>
      <c r="L108" s="580">
        <v>-5.0999999999999996</v>
      </c>
      <c r="M108" s="576" t="s">
        <v>291</v>
      </c>
      <c r="N108" s="782">
        <f t="shared" si="28"/>
        <v>2.4</v>
      </c>
      <c r="P108" s="453">
        <v>5</v>
      </c>
      <c r="Q108" s="580">
        <v>1000</v>
      </c>
      <c r="R108" s="577" t="s">
        <v>291</v>
      </c>
      <c r="S108" s="577" t="s">
        <v>291</v>
      </c>
      <c r="T108" s="576" t="s">
        <v>291</v>
      </c>
      <c r="U108" s="782">
        <f t="shared" si="29"/>
        <v>0</v>
      </c>
    </row>
    <row r="109" spans="1:28" x14ac:dyDescent="0.2">
      <c r="A109" s="1345"/>
      <c r="B109" s="453">
        <v>6</v>
      </c>
      <c r="C109" s="580">
        <v>37</v>
      </c>
      <c r="D109" s="580">
        <v>0.2</v>
      </c>
      <c r="E109" s="580">
        <v>0.4</v>
      </c>
      <c r="F109" s="576" t="s">
        <v>291</v>
      </c>
      <c r="G109" s="782">
        <f t="shared" si="27"/>
        <v>0.1</v>
      </c>
      <c r="I109" s="453">
        <v>6</v>
      </c>
      <c r="J109" s="580">
        <v>80</v>
      </c>
      <c r="K109" s="580">
        <v>2.2000000000000002</v>
      </c>
      <c r="L109" s="580">
        <v>-4.7</v>
      </c>
      <c r="M109" s="576" t="s">
        <v>291</v>
      </c>
      <c r="N109" s="782">
        <f t="shared" si="28"/>
        <v>3.45</v>
      </c>
      <c r="P109" s="453">
        <v>6</v>
      </c>
      <c r="Q109" s="580">
        <v>1005</v>
      </c>
      <c r="R109" s="577" t="s">
        <v>291</v>
      </c>
      <c r="S109" s="577" t="s">
        <v>291</v>
      </c>
      <c r="T109" s="576" t="s">
        <v>291</v>
      </c>
      <c r="U109" s="782">
        <f t="shared" si="29"/>
        <v>0</v>
      </c>
    </row>
    <row r="110" spans="1:28" ht="13.5" thickBot="1" x14ac:dyDescent="0.25">
      <c r="A110" s="1345"/>
      <c r="B110" s="453">
        <v>7</v>
      </c>
      <c r="C110" s="580">
        <v>40</v>
      </c>
      <c r="D110" s="575">
        <v>0.2</v>
      </c>
      <c r="E110" s="575">
        <v>9.9999999999999995E-7</v>
      </c>
      <c r="F110" s="576" t="s">
        <v>291</v>
      </c>
      <c r="G110" s="782">
        <f t="shared" si="27"/>
        <v>9.9999500000000005E-2</v>
      </c>
      <c r="I110" s="453">
        <v>7</v>
      </c>
      <c r="J110" s="580">
        <v>90</v>
      </c>
      <c r="K110" s="580">
        <v>5.4</v>
      </c>
      <c r="L110" s="580">
        <v>9.9999999999999995E-7</v>
      </c>
      <c r="M110" s="576" t="s">
        <v>291</v>
      </c>
      <c r="N110" s="782">
        <f t="shared" si="28"/>
        <v>2.6999995000000001</v>
      </c>
      <c r="P110" s="453">
        <v>7</v>
      </c>
      <c r="Q110" s="580">
        <v>1020</v>
      </c>
      <c r="R110" s="577" t="s">
        <v>291</v>
      </c>
      <c r="S110" s="577" t="s">
        <v>291</v>
      </c>
      <c r="T110" s="576" t="s">
        <v>291</v>
      </c>
      <c r="U110" s="782">
        <f t="shared" si="29"/>
        <v>0</v>
      </c>
    </row>
    <row r="111" spans="1:28" ht="13.5" thickBot="1" x14ac:dyDescent="0.25">
      <c r="A111" s="717"/>
      <c r="B111" s="709"/>
      <c r="C111" s="709"/>
      <c r="D111" s="709"/>
      <c r="E111" s="579"/>
      <c r="F111" s="709"/>
      <c r="G111" s="526"/>
      <c r="H111" s="709"/>
      <c r="I111" s="709"/>
      <c r="J111" s="709"/>
      <c r="K111" s="579"/>
      <c r="L111" s="709"/>
      <c r="M111" s="526"/>
      <c r="O111" s="719"/>
      <c r="P111" s="529"/>
    </row>
    <row r="112" spans="1:28" x14ac:dyDescent="0.2">
      <c r="A112" s="1345">
        <v>11</v>
      </c>
      <c r="B112" s="1344" t="s">
        <v>301</v>
      </c>
      <c r="C112" s="1344"/>
      <c r="D112" s="1344"/>
      <c r="E112" s="1344"/>
      <c r="F112" s="1344"/>
      <c r="G112" s="1344"/>
      <c r="I112" s="1344" t="str">
        <f>B112</f>
        <v>KOREKSI Sekonic HE-21.000670</v>
      </c>
      <c r="J112" s="1344"/>
      <c r="K112" s="1344"/>
      <c r="L112" s="1344"/>
      <c r="M112" s="1344"/>
      <c r="N112" s="1344"/>
      <c r="P112" s="1344" t="str">
        <f>I112</f>
        <v>KOREKSI Sekonic HE-21.000670</v>
      </c>
      <c r="Q112" s="1344"/>
      <c r="R112" s="1344"/>
      <c r="S112" s="1344"/>
      <c r="T112" s="1344"/>
      <c r="U112" s="1344"/>
      <c r="W112" s="1338" t="s">
        <v>284</v>
      </c>
      <c r="X112" s="1339"/>
      <c r="AB112" s="719"/>
    </row>
    <row r="113" spans="1:24" x14ac:dyDescent="0.2">
      <c r="A113" s="1345"/>
      <c r="B113" s="1340" t="s">
        <v>285</v>
      </c>
      <c r="C113" s="1340"/>
      <c r="D113" s="1340" t="s">
        <v>286</v>
      </c>
      <c r="E113" s="1340"/>
      <c r="F113" s="1340"/>
      <c r="G113" s="1340" t="s">
        <v>287</v>
      </c>
      <c r="I113" s="1340" t="s">
        <v>288</v>
      </c>
      <c r="J113" s="1340"/>
      <c r="K113" s="1340" t="s">
        <v>286</v>
      </c>
      <c r="L113" s="1340"/>
      <c r="M113" s="1340"/>
      <c r="N113" s="1340" t="s">
        <v>287</v>
      </c>
      <c r="P113" s="1340" t="s">
        <v>289</v>
      </c>
      <c r="Q113" s="1340"/>
      <c r="R113" s="1340" t="s">
        <v>286</v>
      </c>
      <c r="S113" s="1340"/>
      <c r="T113" s="1340"/>
      <c r="U113" s="1340" t="s">
        <v>287</v>
      </c>
      <c r="W113" s="711" t="s">
        <v>285</v>
      </c>
      <c r="X113" s="712">
        <v>0.3</v>
      </c>
    </row>
    <row r="114" spans="1:24" ht="15" x14ac:dyDescent="0.2">
      <c r="A114" s="1345"/>
      <c r="B114" s="1341" t="s">
        <v>532</v>
      </c>
      <c r="C114" s="1341"/>
      <c r="D114" s="887">
        <v>2020</v>
      </c>
      <c r="E114" s="888">
        <v>2016</v>
      </c>
      <c r="F114" s="888" t="s">
        <v>291</v>
      </c>
      <c r="G114" s="1340"/>
      <c r="I114" s="1342" t="s">
        <v>22</v>
      </c>
      <c r="J114" s="1341"/>
      <c r="K114" s="887">
        <f>D114</f>
        <v>2020</v>
      </c>
      <c r="L114" s="887">
        <f>E114</f>
        <v>2016</v>
      </c>
      <c r="M114" s="887" t="str">
        <f>F114</f>
        <v>-</v>
      </c>
      <c r="N114" s="1340"/>
      <c r="P114" s="1342" t="s">
        <v>290</v>
      </c>
      <c r="Q114" s="1341"/>
      <c r="R114" s="887">
        <f>K114</f>
        <v>2020</v>
      </c>
      <c r="S114" s="887">
        <f>L114</f>
        <v>2016</v>
      </c>
      <c r="T114" s="887" t="str">
        <f>M114</f>
        <v>-</v>
      </c>
      <c r="U114" s="1340"/>
      <c r="W114" s="711" t="s">
        <v>22</v>
      </c>
      <c r="X114" s="712">
        <v>1.8</v>
      </c>
    </row>
    <row r="115" spans="1:24" ht="13.5" thickBot="1" x14ac:dyDescent="0.25">
      <c r="A115" s="1345"/>
      <c r="B115" s="453">
        <v>1</v>
      </c>
      <c r="C115" s="575">
        <v>15</v>
      </c>
      <c r="D115" s="575">
        <v>0.3</v>
      </c>
      <c r="E115" s="575">
        <v>0.3</v>
      </c>
      <c r="F115" s="576" t="s">
        <v>291</v>
      </c>
      <c r="G115" s="782">
        <f>0.5*(MAX(D115:F115)-MIN(D115:F115))</f>
        <v>0</v>
      </c>
      <c r="I115" s="453">
        <v>1</v>
      </c>
      <c r="J115" s="575">
        <v>30</v>
      </c>
      <c r="K115" s="575">
        <v>-5.2</v>
      </c>
      <c r="L115" s="575">
        <v>-6.4</v>
      </c>
      <c r="M115" s="576" t="s">
        <v>291</v>
      </c>
      <c r="N115" s="782">
        <f>0.5*(MAX(K115:M115)-MIN(K115:M115))</f>
        <v>0.60000000000000009</v>
      </c>
      <c r="P115" s="453">
        <v>1</v>
      </c>
      <c r="Q115" s="575">
        <v>750</v>
      </c>
      <c r="R115" s="576" t="s">
        <v>291</v>
      </c>
      <c r="S115" s="575" t="s">
        <v>291</v>
      </c>
      <c r="T115" s="576" t="s">
        <v>291</v>
      </c>
      <c r="U115" s="782">
        <f>0.5*(MAX(R115:T115)-MIN(R115:T115))</f>
        <v>0</v>
      </c>
      <c r="W115" s="713" t="s">
        <v>290</v>
      </c>
      <c r="X115" s="714">
        <v>0</v>
      </c>
    </row>
    <row r="116" spans="1:24" x14ac:dyDescent="0.2">
      <c r="A116" s="1345"/>
      <c r="B116" s="453">
        <v>2</v>
      </c>
      <c r="C116" s="575">
        <v>20</v>
      </c>
      <c r="D116" s="575">
        <v>0.4</v>
      </c>
      <c r="E116" s="575">
        <v>0.5</v>
      </c>
      <c r="F116" s="576" t="s">
        <v>291</v>
      </c>
      <c r="G116" s="782">
        <f t="shared" ref="G116:G121" si="30">0.5*(MAX(D116:F116)-MIN(D116:F116))</f>
        <v>4.9999999999999989E-2</v>
      </c>
      <c r="I116" s="453">
        <v>2</v>
      </c>
      <c r="J116" s="575">
        <v>40</v>
      </c>
      <c r="K116" s="575">
        <v>-5.5</v>
      </c>
      <c r="L116" s="575">
        <v>-5.9</v>
      </c>
      <c r="M116" s="576" t="s">
        <v>291</v>
      </c>
      <c r="N116" s="782">
        <f t="shared" ref="N116:N121" si="31">0.5*(MAX(K116:M116)-MIN(K116:M116))</f>
        <v>0.20000000000000018</v>
      </c>
      <c r="P116" s="453">
        <v>2</v>
      </c>
      <c r="Q116" s="575">
        <v>800</v>
      </c>
      <c r="R116" s="576" t="s">
        <v>291</v>
      </c>
      <c r="S116" s="575" t="s">
        <v>291</v>
      </c>
      <c r="T116" s="576" t="s">
        <v>291</v>
      </c>
      <c r="U116" s="782">
        <f t="shared" ref="U116:U121" si="32">0.5*(MAX(R116:T116)-MIN(R116:T116))</f>
        <v>0</v>
      </c>
    </row>
    <row r="117" spans="1:24" x14ac:dyDescent="0.2">
      <c r="A117" s="1345"/>
      <c r="B117" s="453">
        <v>3</v>
      </c>
      <c r="C117" s="575">
        <v>25</v>
      </c>
      <c r="D117" s="575">
        <v>0.4</v>
      </c>
      <c r="E117" s="575">
        <v>0.5</v>
      </c>
      <c r="F117" s="576" t="s">
        <v>291</v>
      </c>
      <c r="G117" s="782">
        <f t="shared" si="30"/>
        <v>4.9999999999999989E-2</v>
      </c>
      <c r="I117" s="453">
        <v>3</v>
      </c>
      <c r="J117" s="575">
        <v>50</v>
      </c>
      <c r="K117" s="575">
        <v>-5.5</v>
      </c>
      <c r="L117" s="575">
        <v>-5.6</v>
      </c>
      <c r="M117" s="576" t="s">
        <v>291</v>
      </c>
      <c r="N117" s="782">
        <f t="shared" si="31"/>
        <v>4.9999999999999822E-2</v>
      </c>
      <c r="P117" s="453">
        <v>3</v>
      </c>
      <c r="Q117" s="575">
        <v>850</v>
      </c>
      <c r="R117" s="576" t="s">
        <v>291</v>
      </c>
      <c r="S117" s="575" t="s">
        <v>291</v>
      </c>
      <c r="T117" s="576" t="s">
        <v>291</v>
      </c>
      <c r="U117" s="782">
        <f t="shared" si="32"/>
        <v>0</v>
      </c>
    </row>
    <row r="118" spans="1:24" x14ac:dyDescent="0.2">
      <c r="A118" s="1345"/>
      <c r="B118" s="453">
        <v>4</v>
      </c>
      <c r="C118" s="580">
        <v>30</v>
      </c>
      <c r="D118" s="580">
        <v>0.5</v>
      </c>
      <c r="E118" s="580">
        <v>0.4</v>
      </c>
      <c r="F118" s="576" t="s">
        <v>291</v>
      </c>
      <c r="G118" s="782">
        <f t="shared" si="30"/>
        <v>4.9999999999999989E-2</v>
      </c>
      <c r="I118" s="453">
        <v>4</v>
      </c>
      <c r="J118" s="580">
        <v>60</v>
      </c>
      <c r="K118" s="580">
        <v>-4.8</v>
      </c>
      <c r="L118" s="580">
        <v>-4.5</v>
      </c>
      <c r="M118" s="576" t="s">
        <v>291</v>
      </c>
      <c r="N118" s="782">
        <f t="shared" si="31"/>
        <v>0.14999999999999991</v>
      </c>
      <c r="P118" s="453">
        <v>4</v>
      </c>
      <c r="Q118" s="580">
        <v>900</v>
      </c>
      <c r="R118" s="577" t="s">
        <v>291</v>
      </c>
      <c r="S118" s="577" t="s">
        <v>291</v>
      </c>
      <c r="T118" s="576" t="s">
        <v>291</v>
      </c>
      <c r="U118" s="782">
        <f t="shared" si="32"/>
        <v>0</v>
      </c>
    </row>
    <row r="119" spans="1:24" x14ac:dyDescent="0.2">
      <c r="A119" s="1345"/>
      <c r="B119" s="453">
        <v>5</v>
      </c>
      <c r="C119" s="580">
        <v>35</v>
      </c>
      <c r="D119" s="580">
        <v>0.5</v>
      </c>
      <c r="E119" s="580">
        <v>0.4</v>
      </c>
      <c r="F119" s="576" t="s">
        <v>291</v>
      </c>
      <c r="G119" s="782">
        <f t="shared" si="30"/>
        <v>4.9999999999999989E-2</v>
      </c>
      <c r="I119" s="453">
        <v>5</v>
      </c>
      <c r="J119" s="580">
        <v>70</v>
      </c>
      <c r="K119" s="580">
        <v>-3.4</v>
      </c>
      <c r="L119" s="580">
        <v>-1.7</v>
      </c>
      <c r="M119" s="576" t="s">
        <v>291</v>
      </c>
      <c r="N119" s="782">
        <f t="shared" si="31"/>
        <v>0.85</v>
      </c>
      <c r="P119" s="453">
        <v>5</v>
      </c>
      <c r="Q119" s="580">
        <v>1000</v>
      </c>
      <c r="R119" s="577" t="s">
        <v>291</v>
      </c>
      <c r="S119" s="577" t="s">
        <v>291</v>
      </c>
      <c r="T119" s="576" t="s">
        <v>291</v>
      </c>
      <c r="U119" s="782">
        <f t="shared" si="32"/>
        <v>0</v>
      </c>
    </row>
    <row r="120" spans="1:24" x14ac:dyDescent="0.2">
      <c r="A120" s="1345"/>
      <c r="B120" s="453">
        <v>6</v>
      </c>
      <c r="C120" s="580">
        <v>37</v>
      </c>
      <c r="D120" s="580">
        <v>0.5</v>
      </c>
      <c r="E120" s="580">
        <v>0.5</v>
      </c>
      <c r="F120" s="576" t="s">
        <v>291</v>
      </c>
      <c r="G120" s="782">
        <f t="shared" si="30"/>
        <v>0</v>
      </c>
      <c r="I120" s="453">
        <v>6</v>
      </c>
      <c r="J120" s="580">
        <v>80</v>
      </c>
      <c r="K120" s="580">
        <v>-1.4</v>
      </c>
      <c r="L120" s="580">
        <v>2.6</v>
      </c>
      <c r="M120" s="576" t="s">
        <v>291</v>
      </c>
      <c r="N120" s="782">
        <f t="shared" si="31"/>
        <v>2</v>
      </c>
      <c r="P120" s="453">
        <v>6</v>
      </c>
      <c r="Q120" s="580">
        <v>1005</v>
      </c>
      <c r="R120" s="577" t="s">
        <v>291</v>
      </c>
      <c r="S120" s="577" t="s">
        <v>291</v>
      </c>
      <c r="T120" s="576" t="s">
        <v>291</v>
      </c>
      <c r="U120" s="782">
        <f t="shared" si="32"/>
        <v>0</v>
      </c>
    </row>
    <row r="121" spans="1:24" ht="13.5" thickBot="1" x14ac:dyDescent="0.25">
      <c r="A121" s="1345"/>
      <c r="B121" s="453">
        <v>7</v>
      </c>
      <c r="C121" s="580">
        <v>40</v>
      </c>
      <c r="D121" s="580">
        <v>0.5</v>
      </c>
      <c r="E121" s="580">
        <v>9.9999999999999995E-7</v>
      </c>
      <c r="F121" s="576" t="s">
        <v>291</v>
      </c>
      <c r="G121" s="782">
        <f t="shared" si="30"/>
        <v>0.24999950000000001</v>
      </c>
      <c r="I121" s="453">
        <v>7</v>
      </c>
      <c r="J121" s="580">
        <v>90</v>
      </c>
      <c r="K121" s="580">
        <v>1.3</v>
      </c>
      <c r="L121" s="580">
        <v>9.9999999999999995E-7</v>
      </c>
      <c r="M121" s="576" t="s">
        <v>291</v>
      </c>
      <c r="N121" s="782">
        <f t="shared" si="31"/>
        <v>0.64999950000000006</v>
      </c>
      <c r="P121" s="453">
        <v>7</v>
      </c>
      <c r="Q121" s="580">
        <v>1020</v>
      </c>
      <c r="R121" s="577" t="s">
        <v>291</v>
      </c>
      <c r="S121" s="577" t="s">
        <v>291</v>
      </c>
      <c r="T121" s="576" t="s">
        <v>291</v>
      </c>
      <c r="U121" s="782">
        <f t="shared" si="32"/>
        <v>0</v>
      </c>
    </row>
    <row r="122" spans="1:24" ht="13.5" thickBot="1" x14ac:dyDescent="0.25">
      <c r="A122" s="717"/>
      <c r="B122" s="709"/>
      <c r="C122" s="709"/>
      <c r="D122" s="709"/>
      <c r="E122" s="579"/>
      <c r="F122" s="709"/>
      <c r="G122" s="526"/>
      <c r="I122" s="709"/>
      <c r="J122" s="709"/>
      <c r="K122" s="709"/>
      <c r="L122" s="579"/>
      <c r="M122" s="709"/>
      <c r="Q122" s="719"/>
      <c r="R122" s="529"/>
    </row>
    <row r="123" spans="1:24" x14ac:dyDescent="0.2">
      <c r="A123" s="1345">
        <v>12</v>
      </c>
      <c r="B123" s="1344" t="s">
        <v>302</v>
      </c>
      <c r="C123" s="1344"/>
      <c r="D123" s="1344"/>
      <c r="E123" s="1344"/>
      <c r="F123" s="1344"/>
      <c r="G123" s="1344"/>
      <c r="I123" s="1344" t="str">
        <f>B123</f>
        <v>KOREKSI EXTECH A.100586</v>
      </c>
      <c r="J123" s="1344"/>
      <c r="K123" s="1344"/>
      <c r="L123" s="1344"/>
      <c r="M123" s="1344"/>
      <c r="N123" s="1344"/>
      <c r="P123" s="1344" t="str">
        <f>I123</f>
        <v>KOREKSI EXTECH A.100586</v>
      </c>
      <c r="Q123" s="1344"/>
      <c r="R123" s="1344"/>
      <c r="S123" s="1344"/>
      <c r="T123" s="1344"/>
      <c r="U123" s="1344"/>
      <c r="W123" s="1338" t="s">
        <v>284</v>
      </c>
      <c r="X123" s="1339"/>
    </row>
    <row r="124" spans="1:24" x14ac:dyDescent="0.2">
      <c r="A124" s="1345"/>
      <c r="B124" s="1340" t="s">
        <v>285</v>
      </c>
      <c r="C124" s="1340"/>
      <c r="D124" s="1340" t="s">
        <v>286</v>
      </c>
      <c r="E124" s="1340"/>
      <c r="F124" s="1340"/>
      <c r="G124" s="1340" t="s">
        <v>287</v>
      </c>
      <c r="I124" s="1340" t="s">
        <v>288</v>
      </c>
      <c r="J124" s="1340"/>
      <c r="K124" s="1340" t="s">
        <v>286</v>
      </c>
      <c r="L124" s="1340"/>
      <c r="M124" s="1340"/>
      <c r="N124" s="1340" t="s">
        <v>287</v>
      </c>
      <c r="P124" s="1340" t="s">
        <v>289</v>
      </c>
      <c r="Q124" s="1340"/>
      <c r="R124" s="1340" t="s">
        <v>286</v>
      </c>
      <c r="S124" s="1340"/>
      <c r="T124" s="1340"/>
      <c r="U124" s="1340" t="s">
        <v>287</v>
      </c>
      <c r="W124" s="711" t="s">
        <v>285</v>
      </c>
      <c r="X124" s="712">
        <v>0.3</v>
      </c>
    </row>
    <row r="125" spans="1:24" ht="15" x14ac:dyDescent="0.2">
      <c r="A125" s="1345"/>
      <c r="B125" s="1341" t="s">
        <v>532</v>
      </c>
      <c r="C125" s="1341"/>
      <c r="D125" s="887">
        <v>2020</v>
      </c>
      <c r="E125" s="888" t="s">
        <v>291</v>
      </c>
      <c r="F125" s="888" t="s">
        <v>291</v>
      </c>
      <c r="G125" s="1340"/>
      <c r="I125" s="1342" t="s">
        <v>22</v>
      </c>
      <c r="J125" s="1341"/>
      <c r="K125" s="887">
        <f>D125</f>
        <v>2020</v>
      </c>
      <c r="L125" s="887" t="str">
        <f>E125</f>
        <v>-</v>
      </c>
      <c r="M125" s="887" t="str">
        <f>F125</f>
        <v>-</v>
      </c>
      <c r="N125" s="1340"/>
      <c r="P125" s="1342" t="s">
        <v>290</v>
      </c>
      <c r="Q125" s="1341"/>
      <c r="R125" s="887">
        <f>K125</f>
        <v>2020</v>
      </c>
      <c r="S125" s="887" t="str">
        <f>L125</f>
        <v>-</v>
      </c>
      <c r="T125" s="887" t="str">
        <f>M125</f>
        <v>-</v>
      </c>
      <c r="U125" s="1340"/>
      <c r="W125" s="711" t="s">
        <v>22</v>
      </c>
      <c r="X125" s="712">
        <v>2</v>
      </c>
    </row>
    <row r="126" spans="1:24" ht="13.5" thickBot="1" x14ac:dyDescent="0.25">
      <c r="A126" s="1345"/>
      <c r="B126" s="453">
        <v>1</v>
      </c>
      <c r="C126" s="575">
        <v>15</v>
      </c>
      <c r="D126" s="575">
        <v>9.9999999999999995E-7</v>
      </c>
      <c r="E126" s="575" t="s">
        <v>291</v>
      </c>
      <c r="F126" s="576" t="s">
        <v>291</v>
      </c>
      <c r="G126" s="782">
        <f>0.5*(MAX(D126:F126)-MIN(D126:F126))</f>
        <v>0</v>
      </c>
      <c r="I126" s="453">
        <v>1</v>
      </c>
      <c r="J126" s="575">
        <v>30</v>
      </c>
      <c r="K126" s="575">
        <v>-0.4</v>
      </c>
      <c r="L126" s="575" t="s">
        <v>291</v>
      </c>
      <c r="M126" s="576" t="s">
        <v>291</v>
      </c>
      <c r="N126" s="782">
        <f>0.5*(MAX(K126:M126)-MIN(K126:M126))</f>
        <v>0</v>
      </c>
      <c r="P126" s="453">
        <v>1</v>
      </c>
      <c r="Q126" s="575">
        <v>800</v>
      </c>
      <c r="R126" s="576">
        <v>-0.4</v>
      </c>
      <c r="S126" s="575" t="s">
        <v>291</v>
      </c>
      <c r="T126" s="576" t="s">
        <v>291</v>
      </c>
      <c r="U126" s="782">
        <f>0.5*(MAX(R126:T126)-MIN(R126:T126))</f>
        <v>0</v>
      </c>
      <c r="W126" s="713" t="s">
        <v>290</v>
      </c>
      <c r="X126" s="714">
        <v>2.4</v>
      </c>
    </row>
    <row r="127" spans="1:24" x14ac:dyDescent="0.2">
      <c r="A127" s="1345"/>
      <c r="B127" s="453">
        <v>2</v>
      </c>
      <c r="C127" s="575">
        <v>20</v>
      </c>
      <c r="D127" s="575">
        <v>9.9999999999999995E-7</v>
      </c>
      <c r="E127" s="575" t="s">
        <v>291</v>
      </c>
      <c r="F127" s="576" t="s">
        <v>291</v>
      </c>
      <c r="G127" s="782">
        <f t="shared" ref="G127:G132" si="33">0.5*(MAX(D127:F127)-MIN(D127:F127))</f>
        <v>0</v>
      </c>
      <c r="I127" s="453">
        <v>2</v>
      </c>
      <c r="J127" s="575">
        <v>40</v>
      </c>
      <c r="K127" s="575">
        <v>-0.1</v>
      </c>
      <c r="L127" s="575" t="s">
        <v>291</v>
      </c>
      <c r="M127" s="576" t="s">
        <v>291</v>
      </c>
      <c r="N127" s="782">
        <f t="shared" ref="N127:N132" si="34">0.5*(MAX(K127:M127)-MIN(K127:M127))</f>
        <v>0</v>
      </c>
      <c r="P127" s="453">
        <v>2</v>
      </c>
      <c r="Q127" s="575">
        <v>850</v>
      </c>
      <c r="R127" s="576">
        <v>-0.5</v>
      </c>
      <c r="S127" s="575" t="s">
        <v>291</v>
      </c>
      <c r="T127" s="576" t="s">
        <v>291</v>
      </c>
      <c r="U127" s="782">
        <f t="shared" ref="U127:U132" si="35">0.5*(MAX(R127:T127)-MIN(R127:T127))</f>
        <v>0</v>
      </c>
    </row>
    <row r="128" spans="1:24" x14ac:dyDescent="0.2">
      <c r="A128" s="1345"/>
      <c r="B128" s="453">
        <v>3</v>
      </c>
      <c r="C128" s="575">
        <v>25</v>
      </c>
      <c r="D128" s="575">
        <v>9.9999999999999995E-7</v>
      </c>
      <c r="E128" s="575" t="s">
        <v>291</v>
      </c>
      <c r="F128" s="576" t="s">
        <v>291</v>
      </c>
      <c r="G128" s="782">
        <f t="shared" si="33"/>
        <v>0</v>
      </c>
      <c r="I128" s="453">
        <v>3</v>
      </c>
      <c r="J128" s="575">
        <v>50</v>
      </c>
      <c r="K128" s="575">
        <v>9.9999999999999995E-7</v>
      </c>
      <c r="L128" s="575" t="s">
        <v>291</v>
      </c>
      <c r="M128" s="576" t="s">
        <v>291</v>
      </c>
      <c r="N128" s="782">
        <f t="shared" si="34"/>
        <v>0</v>
      </c>
      <c r="P128" s="453">
        <v>3</v>
      </c>
      <c r="Q128" s="580">
        <v>900</v>
      </c>
      <c r="R128" s="577">
        <v>-0.6</v>
      </c>
      <c r="S128" s="575" t="s">
        <v>291</v>
      </c>
      <c r="T128" s="576" t="s">
        <v>291</v>
      </c>
      <c r="U128" s="782">
        <f t="shared" si="35"/>
        <v>0</v>
      </c>
    </row>
    <row r="129" spans="1:24" x14ac:dyDescent="0.2">
      <c r="A129" s="1345"/>
      <c r="B129" s="453">
        <v>4</v>
      </c>
      <c r="C129" s="580">
        <v>30</v>
      </c>
      <c r="D129" s="580">
        <v>-0.1</v>
      </c>
      <c r="E129" s="577" t="s">
        <v>291</v>
      </c>
      <c r="F129" s="576" t="s">
        <v>291</v>
      </c>
      <c r="G129" s="782">
        <f t="shared" si="33"/>
        <v>0</v>
      </c>
      <c r="I129" s="453">
        <v>4</v>
      </c>
      <c r="J129" s="580">
        <v>60</v>
      </c>
      <c r="K129" s="580">
        <v>9.9999999999999995E-7</v>
      </c>
      <c r="L129" s="577" t="s">
        <v>291</v>
      </c>
      <c r="M129" s="576" t="s">
        <v>291</v>
      </c>
      <c r="N129" s="782">
        <f t="shared" si="34"/>
        <v>0</v>
      </c>
      <c r="P129" s="453">
        <v>4</v>
      </c>
      <c r="Q129" s="580">
        <v>950</v>
      </c>
      <c r="R129" s="577">
        <v>-0.7</v>
      </c>
      <c r="S129" s="577" t="s">
        <v>291</v>
      </c>
      <c r="T129" s="576" t="s">
        <v>291</v>
      </c>
      <c r="U129" s="782">
        <f t="shared" si="35"/>
        <v>0</v>
      </c>
    </row>
    <row r="130" spans="1:24" x14ac:dyDescent="0.2">
      <c r="A130" s="1345"/>
      <c r="B130" s="453">
        <v>5</v>
      </c>
      <c r="C130" s="580">
        <v>35</v>
      </c>
      <c r="D130" s="580">
        <v>-0.2</v>
      </c>
      <c r="E130" s="577" t="s">
        <v>291</v>
      </c>
      <c r="F130" s="576" t="s">
        <v>291</v>
      </c>
      <c r="G130" s="782">
        <f t="shared" si="33"/>
        <v>0</v>
      </c>
      <c r="I130" s="453">
        <v>5</v>
      </c>
      <c r="J130" s="580">
        <v>70</v>
      </c>
      <c r="K130" s="580">
        <v>-0.1</v>
      </c>
      <c r="L130" s="577" t="s">
        <v>291</v>
      </c>
      <c r="M130" s="576" t="s">
        <v>291</v>
      </c>
      <c r="N130" s="782">
        <f t="shared" si="34"/>
        <v>0</v>
      </c>
      <c r="P130" s="453">
        <v>5</v>
      </c>
      <c r="Q130" s="580">
        <v>1000</v>
      </c>
      <c r="R130" s="577">
        <v>-0.8</v>
      </c>
      <c r="S130" s="577" t="s">
        <v>291</v>
      </c>
      <c r="T130" s="576" t="s">
        <v>291</v>
      </c>
      <c r="U130" s="782">
        <f t="shared" si="35"/>
        <v>0</v>
      </c>
    </row>
    <row r="131" spans="1:24" x14ac:dyDescent="0.2">
      <c r="A131" s="1345"/>
      <c r="B131" s="453">
        <v>6</v>
      </c>
      <c r="C131" s="580">
        <v>37</v>
      </c>
      <c r="D131" s="580">
        <v>-0.3</v>
      </c>
      <c r="E131" s="577" t="s">
        <v>291</v>
      </c>
      <c r="F131" s="576" t="s">
        <v>291</v>
      </c>
      <c r="G131" s="782">
        <f t="shared" si="33"/>
        <v>0</v>
      </c>
      <c r="I131" s="453">
        <v>6</v>
      </c>
      <c r="J131" s="580">
        <v>80</v>
      </c>
      <c r="K131" s="580">
        <v>-0.5</v>
      </c>
      <c r="L131" s="577" t="s">
        <v>291</v>
      </c>
      <c r="M131" s="576" t="s">
        <v>291</v>
      </c>
      <c r="N131" s="782">
        <f t="shared" si="34"/>
        <v>0</v>
      </c>
      <c r="P131" s="453">
        <v>6</v>
      </c>
      <c r="Q131" s="580">
        <v>1005</v>
      </c>
      <c r="R131" s="577">
        <v>-0.8</v>
      </c>
      <c r="S131" s="577" t="s">
        <v>291</v>
      </c>
      <c r="T131" s="576" t="s">
        <v>291</v>
      </c>
      <c r="U131" s="782">
        <f t="shared" si="35"/>
        <v>0</v>
      </c>
    </row>
    <row r="132" spans="1:24" x14ac:dyDescent="0.2">
      <c r="A132" s="1345"/>
      <c r="B132" s="453">
        <v>7</v>
      </c>
      <c r="C132" s="580">
        <v>40</v>
      </c>
      <c r="D132" s="580">
        <v>-0.4</v>
      </c>
      <c r="E132" s="577" t="s">
        <v>291</v>
      </c>
      <c r="F132" s="576" t="s">
        <v>291</v>
      </c>
      <c r="G132" s="782">
        <f t="shared" si="33"/>
        <v>0</v>
      </c>
      <c r="I132" s="453">
        <v>7</v>
      </c>
      <c r="J132" s="580">
        <v>90</v>
      </c>
      <c r="K132" s="580">
        <v>-0.9</v>
      </c>
      <c r="L132" s="577" t="s">
        <v>291</v>
      </c>
      <c r="M132" s="576" t="s">
        <v>291</v>
      </c>
      <c r="N132" s="782">
        <f t="shared" si="34"/>
        <v>0</v>
      </c>
      <c r="P132" s="453">
        <v>7</v>
      </c>
      <c r="Q132" s="580">
        <v>1020</v>
      </c>
      <c r="R132" s="577">
        <v>9.9999999999999995E-7</v>
      </c>
      <c r="S132" s="577" t="s">
        <v>291</v>
      </c>
      <c r="T132" s="576" t="s">
        <v>291</v>
      </c>
      <c r="U132" s="782">
        <f t="shared" si="35"/>
        <v>0</v>
      </c>
    </row>
    <row r="133" spans="1:24" ht="13.5" thickBot="1" x14ac:dyDescent="0.25">
      <c r="A133" s="720"/>
      <c r="C133" s="438"/>
      <c r="D133" s="438"/>
      <c r="E133" s="581"/>
      <c r="F133" s="438"/>
      <c r="I133" s="438"/>
      <c r="J133" s="438"/>
      <c r="K133" s="581"/>
      <c r="L133" s="438"/>
      <c r="O133" s="438"/>
      <c r="P133" s="581"/>
      <c r="Q133" s="581"/>
      <c r="R133" s="438"/>
    </row>
    <row r="134" spans="1:24" x14ac:dyDescent="0.2">
      <c r="A134" s="1345">
        <v>13</v>
      </c>
      <c r="B134" s="1344" t="s">
        <v>303</v>
      </c>
      <c r="C134" s="1344"/>
      <c r="D134" s="1344"/>
      <c r="E134" s="1344"/>
      <c r="F134" s="1344"/>
      <c r="G134" s="1344"/>
      <c r="I134" s="1344" t="str">
        <f>B134</f>
        <v>KOREKSI EXTECH A.100605</v>
      </c>
      <c r="J134" s="1344"/>
      <c r="K134" s="1344"/>
      <c r="L134" s="1344"/>
      <c r="M134" s="1344"/>
      <c r="N134" s="1344"/>
      <c r="P134" s="1344" t="str">
        <f>I134</f>
        <v>KOREKSI EXTECH A.100605</v>
      </c>
      <c r="Q134" s="1344"/>
      <c r="R134" s="1344"/>
      <c r="S134" s="1344"/>
      <c r="T134" s="1344"/>
      <c r="U134" s="1344"/>
      <c r="W134" s="1338" t="s">
        <v>284</v>
      </c>
      <c r="X134" s="1339"/>
    </row>
    <row r="135" spans="1:24" x14ac:dyDescent="0.2">
      <c r="A135" s="1345"/>
      <c r="B135" s="1340" t="s">
        <v>285</v>
      </c>
      <c r="C135" s="1340"/>
      <c r="D135" s="1340" t="s">
        <v>286</v>
      </c>
      <c r="E135" s="1340"/>
      <c r="F135" s="1340"/>
      <c r="G135" s="1340" t="s">
        <v>287</v>
      </c>
      <c r="I135" s="1340" t="s">
        <v>288</v>
      </c>
      <c r="J135" s="1340"/>
      <c r="K135" s="1340" t="s">
        <v>286</v>
      </c>
      <c r="L135" s="1340"/>
      <c r="M135" s="1340"/>
      <c r="N135" s="1340" t="s">
        <v>287</v>
      </c>
      <c r="P135" s="1340" t="s">
        <v>289</v>
      </c>
      <c r="Q135" s="1340"/>
      <c r="R135" s="1340" t="s">
        <v>286</v>
      </c>
      <c r="S135" s="1340"/>
      <c r="T135" s="1340"/>
      <c r="U135" s="1340" t="s">
        <v>287</v>
      </c>
      <c r="W135" s="711" t="s">
        <v>285</v>
      </c>
      <c r="X135" s="712">
        <v>0.5</v>
      </c>
    </row>
    <row r="136" spans="1:24" ht="15" x14ac:dyDescent="0.2">
      <c r="A136" s="1345"/>
      <c r="B136" s="1341" t="s">
        <v>532</v>
      </c>
      <c r="C136" s="1341"/>
      <c r="D136" s="887">
        <v>2022</v>
      </c>
      <c r="E136" s="887">
        <v>2020</v>
      </c>
      <c r="F136" s="888" t="s">
        <v>291</v>
      </c>
      <c r="G136" s="1340"/>
      <c r="I136" s="1342" t="s">
        <v>22</v>
      </c>
      <c r="J136" s="1341"/>
      <c r="K136" s="887">
        <f>D136</f>
        <v>2022</v>
      </c>
      <c r="L136" s="887">
        <f>E136</f>
        <v>2020</v>
      </c>
      <c r="M136" s="887" t="str">
        <f>F136</f>
        <v>-</v>
      </c>
      <c r="N136" s="1340"/>
      <c r="P136" s="1342" t="s">
        <v>290</v>
      </c>
      <c r="Q136" s="1341"/>
      <c r="R136" s="887">
        <f>K136</f>
        <v>2022</v>
      </c>
      <c r="S136" s="887">
        <f>L136</f>
        <v>2020</v>
      </c>
      <c r="T136" s="887" t="str">
        <f>M136</f>
        <v>-</v>
      </c>
      <c r="U136" s="1340"/>
      <c r="W136" s="711" t="s">
        <v>22</v>
      </c>
      <c r="X136" s="712">
        <v>2.2999999999999998</v>
      </c>
    </row>
    <row r="137" spans="1:24" ht="13.5" thickBot="1" x14ac:dyDescent="0.25">
      <c r="A137" s="1345"/>
      <c r="B137" s="453">
        <v>1</v>
      </c>
      <c r="C137" s="575">
        <v>15</v>
      </c>
      <c r="D137" s="575">
        <v>0.5</v>
      </c>
      <c r="E137" s="575">
        <v>-0.7</v>
      </c>
      <c r="F137" s="576" t="s">
        <v>291</v>
      </c>
      <c r="G137" s="782">
        <f>0.5*(MAX(D137:F137)-MIN(D137:F137))</f>
        <v>0.6</v>
      </c>
      <c r="I137" s="453">
        <v>1</v>
      </c>
      <c r="J137" s="575">
        <v>30</v>
      </c>
      <c r="K137" s="575">
        <v>-2.2000000000000002</v>
      </c>
      <c r="L137" s="575">
        <v>-1.4</v>
      </c>
      <c r="M137" s="576" t="s">
        <v>291</v>
      </c>
      <c r="N137" s="782">
        <f>0.5*(MAX(K137:M137)-MIN(K137:M137))</f>
        <v>0.40000000000000013</v>
      </c>
      <c r="P137" s="453">
        <v>1</v>
      </c>
      <c r="Q137" s="575">
        <v>985</v>
      </c>
      <c r="R137" s="576">
        <v>3.8</v>
      </c>
      <c r="S137" s="576">
        <v>0.9</v>
      </c>
      <c r="T137" s="576" t="s">
        <v>291</v>
      </c>
      <c r="U137" s="782">
        <f>0.5*(MAX(R137:T137)-MIN(R137:T137))</f>
        <v>1.45</v>
      </c>
      <c r="W137" s="713" t="s">
        <v>290</v>
      </c>
      <c r="X137" s="714">
        <v>2.4</v>
      </c>
    </row>
    <row r="138" spans="1:24" x14ac:dyDescent="0.2">
      <c r="A138" s="1345"/>
      <c r="B138" s="453">
        <v>2</v>
      </c>
      <c r="C138" s="575">
        <v>20</v>
      </c>
      <c r="D138" s="575">
        <v>0.2</v>
      </c>
      <c r="E138" s="575">
        <v>-0.4</v>
      </c>
      <c r="F138" s="576" t="s">
        <v>291</v>
      </c>
      <c r="G138" s="782">
        <f t="shared" ref="G138:G143" si="36">0.5*(MAX(D138:F138)-MIN(D138:F138))</f>
        <v>0.30000000000000004</v>
      </c>
      <c r="I138" s="453">
        <v>2</v>
      </c>
      <c r="J138" s="575">
        <v>40</v>
      </c>
      <c r="K138" s="575">
        <v>-2</v>
      </c>
      <c r="L138" s="575">
        <v>-1.3</v>
      </c>
      <c r="M138" s="576" t="s">
        <v>291</v>
      </c>
      <c r="N138" s="782">
        <f t="shared" ref="N138:N143" si="37">0.5*(MAX(K138:M138)-MIN(K138:M138))</f>
        <v>0.35</v>
      </c>
      <c r="P138" s="453">
        <v>2</v>
      </c>
      <c r="Q138" s="575">
        <v>990</v>
      </c>
      <c r="R138" s="576">
        <v>3.8</v>
      </c>
      <c r="S138" s="576">
        <v>1</v>
      </c>
      <c r="T138" s="576" t="s">
        <v>291</v>
      </c>
      <c r="U138" s="782">
        <f t="shared" ref="U138:U143" si="38">0.5*(MAX(R138:T138)-MIN(R138:T138))</f>
        <v>1.4</v>
      </c>
    </row>
    <row r="139" spans="1:24" x14ac:dyDescent="0.2">
      <c r="A139" s="1345"/>
      <c r="B139" s="453">
        <v>3</v>
      </c>
      <c r="C139" s="575">
        <v>25</v>
      </c>
      <c r="D139" s="575">
        <v>0.1</v>
      </c>
      <c r="E139" s="575">
        <v>-0.2</v>
      </c>
      <c r="F139" s="576" t="s">
        <v>291</v>
      </c>
      <c r="G139" s="782">
        <f t="shared" si="36"/>
        <v>0.15000000000000002</v>
      </c>
      <c r="I139" s="453">
        <v>3</v>
      </c>
      <c r="J139" s="575">
        <v>50</v>
      </c>
      <c r="K139" s="575">
        <v>-1.8</v>
      </c>
      <c r="L139" s="575">
        <v>-1.3</v>
      </c>
      <c r="M139" s="576" t="s">
        <v>291</v>
      </c>
      <c r="N139" s="782">
        <f t="shared" si="37"/>
        <v>0.25</v>
      </c>
      <c r="P139" s="453">
        <v>3</v>
      </c>
      <c r="Q139" s="580">
        <v>995</v>
      </c>
      <c r="R139" s="577">
        <v>3.7</v>
      </c>
      <c r="S139" s="577">
        <v>1</v>
      </c>
      <c r="T139" s="576" t="s">
        <v>291</v>
      </c>
      <c r="U139" s="782">
        <f t="shared" si="38"/>
        <v>1.35</v>
      </c>
    </row>
    <row r="140" spans="1:24" x14ac:dyDescent="0.2">
      <c r="A140" s="1345"/>
      <c r="B140" s="453">
        <v>4</v>
      </c>
      <c r="C140" s="580">
        <v>30</v>
      </c>
      <c r="D140" s="580">
        <v>-0.1</v>
      </c>
      <c r="E140" s="580">
        <v>0.1</v>
      </c>
      <c r="F140" s="576" t="s">
        <v>291</v>
      </c>
      <c r="G140" s="782">
        <f t="shared" si="36"/>
        <v>0.1</v>
      </c>
      <c r="I140" s="453">
        <v>4</v>
      </c>
      <c r="J140" s="580">
        <v>60</v>
      </c>
      <c r="K140" s="580">
        <v>-1.6</v>
      </c>
      <c r="L140" s="580">
        <v>-1.5</v>
      </c>
      <c r="M140" s="576" t="s">
        <v>291</v>
      </c>
      <c r="N140" s="782">
        <f t="shared" si="37"/>
        <v>5.0000000000000044E-2</v>
      </c>
      <c r="P140" s="453">
        <v>4</v>
      </c>
      <c r="Q140" s="580">
        <v>1000</v>
      </c>
      <c r="R140" s="577">
        <v>3.7</v>
      </c>
      <c r="S140" s="577">
        <v>1.1000000000000001</v>
      </c>
      <c r="T140" s="576" t="s">
        <v>291</v>
      </c>
      <c r="U140" s="782">
        <f t="shared" si="38"/>
        <v>1.3</v>
      </c>
    </row>
    <row r="141" spans="1:24" x14ac:dyDescent="0.2">
      <c r="A141" s="1345"/>
      <c r="B141" s="453">
        <v>5</v>
      </c>
      <c r="C141" s="580">
        <v>35</v>
      </c>
      <c r="D141" s="580">
        <v>-0.2</v>
      </c>
      <c r="E141" s="580">
        <v>0.3</v>
      </c>
      <c r="F141" s="576" t="s">
        <v>291</v>
      </c>
      <c r="G141" s="782">
        <f t="shared" si="36"/>
        <v>0.25</v>
      </c>
      <c r="I141" s="453">
        <v>5</v>
      </c>
      <c r="J141" s="580">
        <v>70</v>
      </c>
      <c r="K141" s="580">
        <v>-1.4</v>
      </c>
      <c r="L141" s="580">
        <v>-1.9</v>
      </c>
      <c r="M141" s="576" t="s">
        <v>291</v>
      </c>
      <c r="N141" s="782">
        <f t="shared" si="37"/>
        <v>0.25</v>
      </c>
      <c r="P141" s="453">
        <v>5</v>
      </c>
      <c r="Q141" s="580">
        <v>1005</v>
      </c>
      <c r="R141" s="577">
        <v>3.6</v>
      </c>
      <c r="S141" s="577">
        <v>1.1000000000000001</v>
      </c>
      <c r="T141" s="576" t="s">
        <v>291</v>
      </c>
      <c r="U141" s="782">
        <f t="shared" si="38"/>
        <v>1.25</v>
      </c>
    </row>
    <row r="142" spans="1:24" x14ac:dyDescent="0.2">
      <c r="A142" s="1345"/>
      <c r="B142" s="453">
        <v>6</v>
      </c>
      <c r="C142" s="580">
        <v>37</v>
      </c>
      <c r="D142" s="580">
        <v>-0.2</v>
      </c>
      <c r="E142" s="580">
        <v>0.4</v>
      </c>
      <c r="F142" s="576" t="s">
        <v>291</v>
      </c>
      <c r="G142" s="782">
        <f t="shared" si="36"/>
        <v>0.30000000000000004</v>
      </c>
      <c r="I142" s="453">
        <v>6</v>
      </c>
      <c r="J142" s="580">
        <v>80</v>
      </c>
      <c r="K142" s="580">
        <v>-1.2</v>
      </c>
      <c r="L142" s="580">
        <v>-2.5</v>
      </c>
      <c r="M142" s="576" t="s">
        <v>291</v>
      </c>
      <c r="N142" s="782">
        <f t="shared" si="37"/>
        <v>0.65</v>
      </c>
      <c r="P142" s="453">
        <v>6</v>
      </c>
      <c r="Q142" s="580">
        <v>1010</v>
      </c>
      <c r="R142" s="577">
        <v>3.5</v>
      </c>
      <c r="S142" s="577">
        <v>1.1000000000000001</v>
      </c>
      <c r="T142" s="576" t="s">
        <v>291</v>
      </c>
      <c r="U142" s="782">
        <f t="shared" si="38"/>
        <v>1.2</v>
      </c>
    </row>
    <row r="143" spans="1:24" x14ac:dyDescent="0.2">
      <c r="A143" s="1345"/>
      <c r="B143" s="453">
        <v>7</v>
      </c>
      <c r="C143" s="580">
        <v>40</v>
      </c>
      <c r="D143" s="580">
        <v>-0.2</v>
      </c>
      <c r="E143" s="580">
        <v>0.5</v>
      </c>
      <c r="F143" s="576" t="s">
        <v>291</v>
      </c>
      <c r="G143" s="782">
        <f t="shared" si="36"/>
        <v>0.35</v>
      </c>
      <c r="I143" s="453">
        <v>7</v>
      </c>
      <c r="J143" s="580">
        <v>90</v>
      </c>
      <c r="K143" s="580">
        <v>-1</v>
      </c>
      <c r="L143" s="580">
        <v>-3.2</v>
      </c>
      <c r="M143" s="576" t="s">
        <v>291</v>
      </c>
      <c r="N143" s="782">
        <f t="shared" si="37"/>
        <v>1.1000000000000001</v>
      </c>
      <c r="P143" s="453">
        <v>7</v>
      </c>
      <c r="Q143" s="580">
        <v>1020</v>
      </c>
      <c r="R143" s="577">
        <v>9.9999999999999995E-7</v>
      </c>
      <c r="S143" s="577">
        <v>9.9999999999999995E-7</v>
      </c>
      <c r="T143" s="576" t="s">
        <v>291</v>
      </c>
      <c r="U143" s="782">
        <f t="shared" si="38"/>
        <v>0</v>
      </c>
    </row>
    <row r="144" spans="1:24" ht="13.5" thickBot="1" x14ac:dyDescent="0.25">
      <c r="A144" s="720"/>
      <c r="C144" s="438"/>
      <c r="D144" s="438"/>
      <c r="E144" s="581"/>
      <c r="F144" s="438"/>
      <c r="J144" s="438"/>
      <c r="K144" s="438"/>
      <c r="L144" s="581"/>
      <c r="M144" s="438"/>
      <c r="Q144" s="438"/>
      <c r="R144" s="581"/>
      <c r="S144" s="581"/>
      <c r="T144" s="438"/>
    </row>
    <row r="145" spans="1:24" x14ac:dyDescent="0.2">
      <c r="A145" s="1345">
        <v>14</v>
      </c>
      <c r="B145" s="1344" t="s">
        <v>304</v>
      </c>
      <c r="C145" s="1344"/>
      <c r="D145" s="1344"/>
      <c r="E145" s="1344"/>
      <c r="F145" s="1344"/>
      <c r="G145" s="1344"/>
      <c r="I145" s="1344" t="str">
        <f>B145</f>
        <v>KOREKSI EXTECH A.100609</v>
      </c>
      <c r="J145" s="1344"/>
      <c r="K145" s="1344"/>
      <c r="L145" s="1344"/>
      <c r="M145" s="1344"/>
      <c r="N145" s="1344"/>
      <c r="P145" s="1344" t="str">
        <f>I145</f>
        <v>KOREKSI EXTECH A.100609</v>
      </c>
      <c r="Q145" s="1344"/>
      <c r="R145" s="1344"/>
      <c r="S145" s="1344"/>
      <c r="T145" s="1344"/>
      <c r="U145" s="1344"/>
      <c r="W145" s="1338" t="s">
        <v>284</v>
      </c>
      <c r="X145" s="1339"/>
    </row>
    <row r="146" spans="1:24" x14ac:dyDescent="0.2">
      <c r="A146" s="1345"/>
      <c r="B146" s="1340" t="s">
        <v>285</v>
      </c>
      <c r="C146" s="1340"/>
      <c r="D146" s="1340" t="s">
        <v>286</v>
      </c>
      <c r="E146" s="1340"/>
      <c r="F146" s="1340"/>
      <c r="G146" s="1340" t="s">
        <v>287</v>
      </c>
      <c r="I146" s="1340" t="s">
        <v>288</v>
      </c>
      <c r="J146" s="1340"/>
      <c r="K146" s="1340" t="s">
        <v>286</v>
      </c>
      <c r="L146" s="1340"/>
      <c r="M146" s="1340"/>
      <c r="N146" s="1340" t="s">
        <v>287</v>
      </c>
      <c r="P146" s="1340" t="s">
        <v>289</v>
      </c>
      <c r="Q146" s="1340"/>
      <c r="R146" s="1340" t="s">
        <v>286</v>
      </c>
      <c r="S146" s="1340"/>
      <c r="T146" s="1340"/>
      <c r="U146" s="1340" t="s">
        <v>287</v>
      </c>
      <c r="W146" s="711" t="s">
        <v>285</v>
      </c>
      <c r="X146" s="712">
        <v>0.5</v>
      </c>
    </row>
    <row r="147" spans="1:24" ht="15" x14ac:dyDescent="0.2">
      <c r="A147" s="1345"/>
      <c r="B147" s="1341" t="s">
        <v>532</v>
      </c>
      <c r="C147" s="1341"/>
      <c r="D147" s="887">
        <v>2022</v>
      </c>
      <c r="E147" s="887">
        <v>2020</v>
      </c>
      <c r="F147" s="888" t="s">
        <v>291</v>
      </c>
      <c r="G147" s="1340"/>
      <c r="I147" s="1342" t="s">
        <v>22</v>
      </c>
      <c r="J147" s="1341"/>
      <c r="K147" s="887">
        <f>D147</f>
        <v>2022</v>
      </c>
      <c r="L147" s="887">
        <f>E147</f>
        <v>2020</v>
      </c>
      <c r="M147" s="887" t="str">
        <f>F147</f>
        <v>-</v>
      </c>
      <c r="N147" s="1340"/>
      <c r="P147" s="1342" t="s">
        <v>290</v>
      </c>
      <c r="Q147" s="1341"/>
      <c r="R147" s="887">
        <f>K147</f>
        <v>2022</v>
      </c>
      <c r="S147" s="887">
        <f>L147</f>
        <v>2020</v>
      </c>
      <c r="T147" s="887" t="str">
        <f>M147</f>
        <v>-</v>
      </c>
      <c r="U147" s="1340"/>
      <c r="W147" s="711" t="s">
        <v>22</v>
      </c>
      <c r="X147" s="712">
        <v>2.7</v>
      </c>
    </row>
    <row r="148" spans="1:24" ht="13.5" thickBot="1" x14ac:dyDescent="0.25">
      <c r="A148" s="1345"/>
      <c r="B148" s="453">
        <v>1</v>
      </c>
      <c r="C148" s="575">
        <v>15</v>
      </c>
      <c r="D148" s="575">
        <v>0.5</v>
      </c>
      <c r="E148" s="575">
        <v>-0.2</v>
      </c>
      <c r="F148" s="576" t="s">
        <v>291</v>
      </c>
      <c r="G148" s="782">
        <f>0.5*(MAX(D148:F148)-MIN(D148:F148))</f>
        <v>0.35</v>
      </c>
      <c r="I148" s="453">
        <v>1</v>
      </c>
      <c r="J148" s="575">
        <v>30</v>
      </c>
      <c r="K148" s="575">
        <v>-0.8</v>
      </c>
      <c r="L148" s="575">
        <v>0.6</v>
      </c>
      <c r="M148" s="576" t="s">
        <v>291</v>
      </c>
      <c r="N148" s="782">
        <f>0.5*(MAX(K148:M148)-MIN(K148:M148))</f>
        <v>0.7</v>
      </c>
      <c r="P148" s="453">
        <v>1</v>
      </c>
      <c r="Q148" s="575">
        <v>985</v>
      </c>
      <c r="R148" s="576">
        <v>3.9</v>
      </c>
      <c r="S148" s="576">
        <v>0.9</v>
      </c>
      <c r="T148" s="576" t="s">
        <v>291</v>
      </c>
      <c r="U148" s="782">
        <f>0.5*(MAX(R148:T148)-MIN(R148:T148))</f>
        <v>1.5</v>
      </c>
      <c r="W148" s="713" t="s">
        <v>290</v>
      </c>
      <c r="X148" s="714">
        <v>2.4</v>
      </c>
    </row>
    <row r="149" spans="1:24" x14ac:dyDescent="0.2">
      <c r="A149" s="1345"/>
      <c r="B149" s="453">
        <v>2</v>
      </c>
      <c r="C149" s="575">
        <v>20</v>
      </c>
      <c r="D149" s="575">
        <v>0.2</v>
      </c>
      <c r="E149" s="575">
        <v>-0.1</v>
      </c>
      <c r="F149" s="576" t="s">
        <v>291</v>
      </c>
      <c r="G149" s="782">
        <f t="shared" ref="G149:G154" si="39">0.5*(MAX(D149:F149)-MIN(D149:F149))</f>
        <v>0.15000000000000002</v>
      </c>
      <c r="I149" s="453">
        <v>2</v>
      </c>
      <c r="J149" s="575">
        <v>40</v>
      </c>
      <c r="K149" s="575">
        <v>-0.4</v>
      </c>
      <c r="L149" s="575">
        <v>0.3</v>
      </c>
      <c r="M149" s="576" t="s">
        <v>291</v>
      </c>
      <c r="N149" s="782">
        <f t="shared" ref="N149:N154" si="40">0.5*(MAX(K149:M149)-MIN(K149:M149))</f>
        <v>0.35</v>
      </c>
      <c r="P149" s="453">
        <v>2</v>
      </c>
      <c r="Q149" s="575">
        <v>990</v>
      </c>
      <c r="R149" s="576">
        <v>3.9</v>
      </c>
      <c r="S149" s="576">
        <v>1</v>
      </c>
      <c r="T149" s="576" t="s">
        <v>291</v>
      </c>
      <c r="U149" s="782">
        <f t="shared" ref="U149:U154" si="41">0.5*(MAX(R149:T149)-MIN(R149:T149))</f>
        <v>1.45</v>
      </c>
    </row>
    <row r="150" spans="1:24" x14ac:dyDescent="0.2">
      <c r="A150" s="1345"/>
      <c r="B150" s="453">
        <v>3</v>
      </c>
      <c r="C150" s="575">
        <v>25</v>
      </c>
      <c r="D150" s="575">
        <v>-0.1</v>
      </c>
      <c r="E150" s="575">
        <v>-0.1</v>
      </c>
      <c r="F150" s="576" t="s">
        <v>291</v>
      </c>
      <c r="G150" s="782">
        <f t="shared" si="39"/>
        <v>0</v>
      </c>
      <c r="I150" s="453">
        <v>3</v>
      </c>
      <c r="J150" s="575">
        <v>50</v>
      </c>
      <c r="K150" s="575">
        <v>9.9999999999999995E-7</v>
      </c>
      <c r="L150" s="575">
        <v>-0.2</v>
      </c>
      <c r="M150" s="576" t="s">
        <v>291</v>
      </c>
      <c r="N150" s="782">
        <f t="shared" si="40"/>
        <v>0.10000050000000001</v>
      </c>
      <c r="P150" s="453">
        <v>3</v>
      </c>
      <c r="Q150" s="580">
        <v>995</v>
      </c>
      <c r="R150" s="577">
        <v>3.8</v>
      </c>
      <c r="S150" s="577">
        <v>1</v>
      </c>
      <c r="T150" s="576" t="s">
        <v>291</v>
      </c>
      <c r="U150" s="782">
        <f t="shared" si="41"/>
        <v>1.4</v>
      </c>
    </row>
    <row r="151" spans="1:24" x14ac:dyDescent="0.2">
      <c r="A151" s="1345"/>
      <c r="B151" s="453">
        <v>4</v>
      </c>
      <c r="C151" s="580">
        <v>30</v>
      </c>
      <c r="D151" s="580">
        <v>-0.4</v>
      </c>
      <c r="E151" s="580">
        <v>-0.3</v>
      </c>
      <c r="F151" s="576" t="s">
        <v>291</v>
      </c>
      <c r="G151" s="782">
        <f t="shared" si="39"/>
        <v>5.0000000000000017E-2</v>
      </c>
      <c r="I151" s="453">
        <v>4</v>
      </c>
      <c r="J151" s="580">
        <v>60</v>
      </c>
      <c r="K151" s="580">
        <v>0.3</v>
      </c>
      <c r="L151" s="580">
        <v>-0.6</v>
      </c>
      <c r="M151" s="576" t="s">
        <v>291</v>
      </c>
      <c r="N151" s="782">
        <f t="shared" si="40"/>
        <v>0.44999999999999996</v>
      </c>
      <c r="P151" s="453">
        <v>4</v>
      </c>
      <c r="Q151" s="580">
        <v>1000</v>
      </c>
      <c r="R151" s="577">
        <v>3.8</v>
      </c>
      <c r="S151" s="577">
        <v>1.1000000000000001</v>
      </c>
      <c r="T151" s="576" t="s">
        <v>291</v>
      </c>
      <c r="U151" s="782">
        <f t="shared" si="41"/>
        <v>1.3499999999999999</v>
      </c>
    </row>
    <row r="152" spans="1:24" x14ac:dyDescent="0.2">
      <c r="A152" s="1345"/>
      <c r="B152" s="453">
        <v>5</v>
      </c>
      <c r="C152" s="580">
        <v>35</v>
      </c>
      <c r="D152" s="580">
        <v>-0.6</v>
      </c>
      <c r="E152" s="580">
        <v>-0.6</v>
      </c>
      <c r="F152" s="576" t="s">
        <v>291</v>
      </c>
      <c r="G152" s="782">
        <f t="shared" si="39"/>
        <v>0</v>
      </c>
      <c r="I152" s="453">
        <v>5</v>
      </c>
      <c r="J152" s="580">
        <v>70</v>
      </c>
      <c r="K152" s="580">
        <v>0.7</v>
      </c>
      <c r="L152" s="580">
        <v>-0.8</v>
      </c>
      <c r="M152" s="576" t="s">
        <v>291</v>
      </c>
      <c r="N152" s="782">
        <f t="shared" si="40"/>
        <v>0.75</v>
      </c>
      <c r="P152" s="453">
        <v>5</v>
      </c>
      <c r="Q152" s="580">
        <v>1005</v>
      </c>
      <c r="R152" s="577">
        <v>3.8</v>
      </c>
      <c r="S152" s="577">
        <v>1.1000000000000001</v>
      </c>
      <c r="T152" s="576" t="s">
        <v>291</v>
      </c>
      <c r="U152" s="782">
        <f t="shared" si="41"/>
        <v>1.3499999999999999</v>
      </c>
    </row>
    <row r="153" spans="1:24" x14ac:dyDescent="0.2">
      <c r="A153" s="1345"/>
      <c r="B153" s="453">
        <v>6</v>
      </c>
      <c r="C153" s="580">
        <v>37</v>
      </c>
      <c r="D153" s="580">
        <v>-0.7</v>
      </c>
      <c r="E153" s="580">
        <v>-0.8</v>
      </c>
      <c r="F153" s="576" t="s">
        <v>291</v>
      </c>
      <c r="G153" s="782">
        <f t="shared" si="39"/>
        <v>5.0000000000000044E-2</v>
      </c>
      <c r="I153" s="453">
        <v>6</v>
      </c>
      <c r="J153" s="580">
        <v>80</v>
      </c>
      <c r="K153" s="580">
        <v>1.1000000000000001</v>
      </c>
      <c r="L153" s="580">
        <v>-0.9</v>
      </c>
      <c r="M153" s="576" t="s">
        <v>291</v>
      </c>
      <c r="N153" s="782">
        <f t="shared" si="40"/>
        <v>1</v>
      </c>
      <c r="P153" s="453">
        <v>6</v>
      </c>
      <c r="Q153" s="580">
        <v>1010</v>
      </c>
      <c r="R153" s="577">
        <v>3.7</v>
      </c>
      <c r="S153" s="577">
        <v>1.1000000000000001</v>
      </c>
      <c r="T153" s="576" t="s">
        <v>291</v>
      </c>
      <c r="U153" s="782">
        <f t="shared" si="41"/>
        <v>1.3</v>
      </c>
    </row>
    <row r="154" spans="1:24" x14ac:dyDescent="0.2">
      <c r="A154" s="1345"/>
      <c r="B154" s="453">
        <v>7</v>
      </c>
      <c r="C154" s="580">
        <v>40</v>
      </c>
      <c r="D154" s="580">
        <v>-0.8</v>
      </c>
      <c r="E154" s="580">
        <v>-1.1000000000000001</v>
      </c>
      <c r="F154" s="576" t="s">
        <v>291</v>
      </c>
      <c r="G154" s="782">
        <f t="shared" si="39"/>
        <v>0.15000000000000002</v>
      </c>
      <c r="I154" s="453">
        <v>7</v>
      </c>
      <c r="J154" s="580">
        <v>90</v>
      </c>
      <c r="K154" s="580">
        <v>1.5</v>
      </c>
      <c r="L154" s="580">
        <v>-0.8</v>
      </c>
      <c r="M154" s="576" t="s">
        <v>291</v>
      </c>
      <c r="N154" s="782">
        <f t="shared" si="40"/>
        <v>1.1499999999999999</v>
      </c>
      <c r="P154" s="453">
        <v>7</v>
      </c>
      <c r="Q154" s="580">
        <v>1020</v>
      </c>
      <c r="R154" s="577">
        <v>9.9999999999999995E-7</v>
      </c>
      <c r="S154" s="577">
        <v>9.9999999999999995E-7</v>
      </c>
      <c r="T154" s="576" t="s">
        <v>291</v>
      </c>
      <c r="U154" s="782">
        <f t="shared" si="41"/>
        <v>0</v>
      </c>
    </row>
    <row r="155" spans="1:24" ht="13.5" thickBot="1" x14ac:dyDescent="0.25">
      <c r="A155" s="720"/>
      <c r="C155" s="438"/>
      <c r="D155" s="438"/>
      <c r="E155" s="581"/>
      <c r="F155" s="438"/>
      <c r="J155" s="438"/>
      <c r="K155" s="438"/>
      <c r="L155" s="581"/>
      <c r="M155" s="438"/>
      <c r="Q155" s="438"/>
      <c r="R155" s="581"/>
      <c r="S155" s="581"/>
      <c r="T155" s="438"/>
    </row>
    <row r="156" spans="1:24" x14ac:dyDescent="0.2">
      <c r="A156" s="1345">
        <v>15</v>
      </c>
      <c r="B156" s="1344" t="s">
        <v>305</v>
      </c>
      <c r="C156" s="1344"/>
      <c r="D156" s="1344"/>
      <c r="E156" s="1344"/>
      <c r="F156" s="1344"/>
      <c r="G156" s="1344"/>
      <c r="I156" s="1344" t="str">
        <f>B156</f>
        <v>KOREKSI EXTECH A.100611</v>
      </c>
      <c r="J156" s="1344"/>
      <c r="K156" s="1344"/>
      <c r="L156" s="1344"/>
      <c r="M156" s="1344"/>
      <c r="N156" s="1344"/>
      <c r="P156" s="1344" t="str">
        <f>I156</f>
        <v>KOREKSI EXTECH A.100611</v>
      </c>
      <c r="Q156" s="1344"/>
      <c r="R156" s="1344"/>
      <c r="S156" s="1344"/>
      <c r="T156" s="1344"/>
      <c r="U156" s="1344"/>
      <c r="W156" s="1338" t="s">
        <v>284</v>
      </c>
      <c r="X156" s="1339"/>
    </row>
    <row r="157" spans="1:24" x14ac:dyDescent="0.2">
      <c r="A157" s="1345"/>
      <c r="B157" s="1340" t="s">
        <v>285</v>
      </c>
      <c r="C157" s="1340"/>
      <c r="D157" s="1340" t="s">
        <v>286</v>
      </c>
      <c r="E157" s="1340"/>
      <c r="F157" s="1340"/>
      <c r="G157" s="1340" t="s">
        <v>287</v>
      </c>
      <c r="I157" s="1340" t="s">
        <v>288</v>
      </c>
      <c r="J157" s="1340"/>
      <c r="K157" s="1340" t="s">
        <v>286</v>
      </c>
      <c r="L157" s="1340"/>
      <c r="M157" s="1340"/>
      <c r="N157" s="1340" t="s">
        <v>287</v>
      </c>
      <c r="P157" s="1340" t="s">
        <v>289</v>
      </c>
      <c r="Q157" s="1340"/>
      <c r="R157" s="1340" t="s">
        <v>286</v>
      </c>
      <c r="S157" s="1340"/>
      <c r="T157" s="1340"/>
      <c r="U157" s="1340" t="s">
        <v>287</v>
      </c>
      <c r="W157" s="711" t="s">
        <v>285</v>
      </c>
      <c r="X157" s="712">
        <v>0.5</v>
      </c>
    </row>
    <row r="158" spans="1:24" ht="15" x14ac:dyDescent="0.2">
      <c r="A158" s="1345"/>
      <c r="B158" s="1341" t="s">
        <v>532</v>
      </c>
      <c r="C158" s="1341"/>
      <c r="D158" s="887">
        <v>2022</v>
      </c>
      <c r="E158" s="887">
        <v>2020</v>
      </c>
      <c r="F158" s="888" t="s">
        <v>291</v>
      </c>
      <c r="G158" s="1340"/>
      <c r="I158" s="1342" t="s">
        <v>22</v>
      </c>
      <c r="J158" s="1341"/>
      <c r="K158" s="887">
        <f>D158</f>
        <v>2022</v>
      </c>
      <c r="L158" s="887">
        <f>E158</f>
        <v>2020</v>
      </c>
      <c r="M158" s="887" t="str">
        <f>F158</f>
        <v>-</v>
      </c>
      <c r="N158" s="1340"/>
      <c r="P158" s="1342" t="s">
        <v>290</v>
      </c>
      <c r="Q158" s="1341"/>
      <c r="R158" s="887">
        <f>K158</f>
        <v>2022</v>
      </c>
      <c r="S158" s="887">
        <f>L158</f>
        <v>2020</v>
      </c>
      <c r="T158" s="887" t="str">
        <f>M158</f>
        <v>-</v>
      </c>
      <c r="U158" s="1340"/>
      <c r="W158" s="711" t="s">
        <v>22</v>
      </c>
      <c r="X158" s="712">
        <v>2.6</v>
      </c>
    </row>
    <row r="159" spans="1:24" ht="13.5" thickBot="1" x14ac:dyDescent="0.25">
      <c r="A159" s="1345"/>
      <c r="B159" s="453">
        <v>1</v>
      </c>
      <c r="C159" s="575">
        <v>15</v>
      </c>
      <c r="D159" s="575">
        <v>0.6</v>
      </c>
      <c r="E159" s="575">
        <v>-0.6</v>
      </c>
      <c r="F159" s="576" t="s">
        <v>291</v>
      </c>
      <c r="G159" s="782">
        <f>0.5*(MAX(D159:F159)-MIN(D159:F159))</f>
        <v>0.6</v>
      </c>
      <c r="I159" s="453">
        <v>1</v>
      </c>
      <c r="J159" s="575">
        <v>30</v>
      </c>
      <c r="K159" s="575">
        <v>-2</v>
      </c>
      <c r="L159" s="575">
        <v>-0.4</v>
      </c>
      <c r="M159" s="576" t="s">
        <v>291</v>
      </c>
      <c r="N159" s="782">
        <f>0.5*(MAX(K159:M159)-MIN(K159:M159))</f>
        <v>0.8</v>
      </c>
      <c r="P159" s="453">
        <v>1</v>
      </c>
      <c r="Q159" s="575">
        <v>985</v>
      </c>
      <c r="R159" s="576">
        <v>4.3</v>
      </c>
      <c r="S159" s="576">
        <v>0.9</v>
      </c>
      <c r="T159" s="576" t="s">
        <v>291</v>
      </c>
      <c r="U159" s="782">
        <f>0.5*(MAX(R159:T159)-MIN(R159:T159))</f>
        <v>1.7</v>
      </c>
      <c r="W159" s="713" t="s">
        <v>290</v>
      </c>
      <c r="X159" s="714">
        <v>2.6</v>
      </c>
    </row>
    <row r="160" spans="1:24" x14ac:dyDescent="0.2">
      <c r="A160" s="1345"/>
      <c r="B160" s="453">
        <v>2</v>
      </c>
      <c r="C160" s="575">
        <v>20</v>
      </c>
      <c r="D160" s="575">
        <v>0.3</v>
      </c>
      <c r="E160" s="575">
        <v>-0.5</v>
      </c>
      <c r="F160" s="576" t="s">
        <v>291</v>
      </c>
      <c r="G160" s="782">
        <f t="shared" ref="G160:G165" si="42">0.5*(MAX(D160:F160)-MIN(D160:F160))</f>
        <v>0.4</v>
      </c>
      <c r="I160" s="453">
        <v>2</v>
      </c>
      <c r="J160" s="575">
        <v>40</v>
      </c>
      <c r="K160" s="575">
        <v>-1.7</v>
      </c>
      <c r="L160" s="575">
        <v>-0.3</v>
      </c>
      <c r="M160" s="576" t="s">
        <v>291</v>
      </c>
      <c r="N160" s="782">
        <f t="shared" ref="N160:N165" si="43">0.5*(MAX(K160:M160)-MIN(K160:M160))</f>
        <v>0.7</v>
      </c>
      <c r="P160" s="453">
        <v>2</v>
      </c>
      <c r="Q160" s="575">
        <v>990</v>
      </c>
      <c r="R160" s="576">
        <v>4.2</v>
      </c>
      <c r="S160" s="576">
        <v>1</v>
      </c>
      <c r="T160" s="576" t="s">
        <v>291</v>
      </c>
      <c r="U160" s="782">
        <f t="shared" ref="U160:U165" si="44">0.5*(MAX(R160:T160)-MIN(R160:T160))</f>
        <v>1.6</v>
      </c>
    </row>
    <row r="161" spans="1:24" x14ac:dyDescent="0.2">
      <c r="A161" s="1345"/>
      <c r="B161" s="453">
        <v>3</v>
      </c>
      <c r="C161" s="575">
        <v>25</v>
      </c>
      <c r="D161" s="575">
        <v>0.2</v>
      </c>
      <c r="E161" s="575">
        <v>-0.4</v>
      </c>
      <c r="F161" s="576" t="s">
        <v>291</v>
      </c>
      <c r="G161" s="782">
        <f t="shared" si="42"/>
        <v>0.30000000000000004</v>
      </c>
      <c r="I161" s="453">
        <v>3</v>
      </c>
      <c r="J161" s="575">
        <v>50</v>
      </c>
      <c r="K161" s="575">
        <v>-1.4</v>
      </c>
      <c r="L161" s="575">
        <v>-0.3</v>
      </c>
      <c r="M161" s="576" t="s">
        <v>291</v>
      </c>
      <c r="N161" s="782">
        <f t="shared" si="43"/>
        <v>0.54999999999999993</v>
      </c>
      <c r="P161" s="453">
        <v>3</v>
      </c>
      <c r="Q161" s="580">
        <v>995</v>
      </c>
      <c r="R161" s="577">
        <v>4.0999999999999996</v>
      </c>
      <c r="S161" s="577">
        <v>1</v>
      </c>
      <c r="T161" s="576" t="s">
        <v>291</v>
      </c>
      <c r="U161" s="782">
        <f t="shared" si="44"/>
        <v>1.5499999999999998</v>
      </c>
    </row>
    <row r="162" spans="1:24" x14ac:dyDescent="0.2">
      <c r="A162" s="1345"/>
      <c r="B162" s="453">
        <v>4</v>
      </c>
      <c r="C162" s="580">
        <v>30</v>
      </c>
      <c r="D162" s="580">
        <v>0.4</v>
      </c>
      <c r="E162" s="580">
        <v>-0.2</v>
      </c>
      <c r="F162" s="576" t="s">
        <v>291</v>
      </c>
      <c r="G162" s="782">
        <f t="shared" si="42"/>
        <v>0.30000000000000004</v>
      </c>
      <c r="I162" s="453">
        <v>4</v>
      </c>
      <c r="J162" s="580">
        <v>60</v>
      </c>
      <c r="K162" s="580">
        <v>-1.1000000000000001</v>
      </c>
      <c r="L162" s="580">
        <v>-0.5</v>
      </c>
      <c r="M162" s="576" t="s">
        <v>291</v>
      </c>
      <c r="N162" s="782">
        <f t="shared" si="43"/>
        <v>0.30000000000000004</v>
      </c>
      <c r="P162" s="453">
        <v>4</v>
      </c>
      <c r="Q162" s="580">
        <v>1000</v>
      </c>
      <c r="R162" s="577">
        <v>4.0999999999999996</v>
      </c>
      <c r="S162" s="577">
        <v>1.1000000000000001</v>
      </c>
      <c r="T162" s="576" t="s">
        <v>291</v>
      </c>
      <c r="U162" s="782">
        <f t="shared" si="44"/>
        <v>1.4999999999999998</v>
      </c>
    </row>
    <row r="163" spans="1:24" x14ac:dyDescent="0.2">
      <c r="A163" s="1345"/>
      <c r="B163" s="453">
        <v>5</v>
      </c>
      <c r="C163" s="580">
        <v>35</v>
      </c>
      <c r="D163" s="580">
        <v>0.8</v>
      </c>
      <c r="E163" s="580">
        <v>-0.1</v>
      </c>
      <c r="F163" s="576" t="s">
        <v>291</v>
      </c>
      <c r="G163" s="782">
        <f t="shared" si="42"/>
        <v>0.45</v>
      </c>
      <c r="I163" s="453">
        <v>5</v>
      </c>
      <c r="J163" s="580">
        <v>70</v>
      </c>
      <c r="K163" s="580">
        <v>-0.7</v>
      </c>
      <c r="L163" s="580">
        <v>-0.8</v>
      </c>
      <c r="M163" s="576" t="s">
        <v>291</v>
      </c>
      <c r="N163" s="782">
        <f t="shared" si="43"/>
        <v>5.0000000000000044E-2</v>
      </c>
      <c r="P163" s="453">
        <v>5</v>
      </c>
      <c r="Q163" s="580">
        <v>1005</v>
      </c>
      <c r="R163" s="577">
        <v>4</v>
      </c>
      <c r="S163" s="577">
        <v>1.1000000000000001</v>
      </c>
      <c r="T163" s="576" t="s">
        <v>291</v>
      </c>
      <c r="U163" s="782">
        <f t="shared" si="44"/>
        <v>1.45</v>
      </c>
    </row>
    <row r="164" spans="1:24" x14ac:dyDescent="0.2">
      <c r="A164" s="1345"/>
      <c r="B164" s="453">
        <v>6</v>
      </c>
      <c r="C164" s="580">
        <v>37</v>
      </c>
      <c r="D164" s="580">
        <v>1</v>
      </c>
      <c r="E164" s="580">
        <v>-0.1</v>
      </c>
      <c r="F164" s="576" t="s">
        <v>291</v>
      </c>
      <c r="G164" s="782">
        <f t="shared" si="42"/>
        <v>0.55000000000000004</v>
      </c>
      <c r="I164" s="453">
        <v>6</v>
      </c>
      <c r="J164" s="580">
        <v>80</v>
      </c>
      <c r="K164" s="580">
        <v>-0.4</v>
      </c>
      <c r="L164" s="580">
        <v>-1.3</v>
      </c>
      <c r="M164" s="576" t="s">
        <v>291</v>
      </c>
      <c r="N164" s="782">
        <f t="shared" si="43"/>
        <v>0.45</v>
      </c>
      <c r="P164" s="453">
        <v>6</v>
      </c>
      <c r="Q164" s="580">
        <v>1010</v>
      </c>
      <c r="R164" s="577">
        <v>3.9</v>
      </c>
      <c r="S164" s="577">
        <v>1.1000000000000001</v>
      </c>
      <c r="T164" s="576" t="s">
        <v>291</v>
      </c>
      <c r="U164" s="782">
        <f t="shared" si="44"/>
        <v>1.4</v>
      </c>
    </row>
    <row r="165" spans="1:24" x14ac:dyDescent="0.2">
      <c r="A165" s="1345"/>
      <c r="B165" s="453">
        <v>7</v>
      </c>
      <c r="C165" s="580">
        <v>40</v>
      </c>
      <c r="D165" s="580">
        <v>1.4</v>
      </c>
      <c r="E165" s="580">
        <v>9.9999999999999995E-7</v>
      </c>
      <c r="F165" s="576" t="s">
        <v>291</v>
      </c>
      <c r="G165" s="782">
        <f t="shared" si="42"/>
        <v>0.6999995</v>
      </c>
      <c r="I165" s="453">
        <v>7</v>
      </c>
      <c r="J165" s="580">
        <v>90</v>
      </c>
      <c r="K165" s="580">
        <v>-0.1</v>
      </c>
      <c r="L165" s="580">
        <v>-2</v>
      </c>
      <c r="M165" s="576" t="s">
        <v>291</v>
      </c>
      <c r="N165" s="782">
        <f t="shared" si="43"/>
        <v>0.95</v>
      </c>
      <c r="P165" s="453">
        <v>7</v>
      </c>
      <c r="Q165" s="580">
        <v>1020</v>
      </c>
      <c r="R165" s="577">
        <v>9.9999999999999995E-7</v>
      </c>
      <c r="S165" s="577">
        <v>9.9999999999999995E-7</v>
      </c>
      <c r="T165" s="576" t="s">
        <v>291</v>
      </c>
      <c r="U165" s="782">
        <f t="shared" si="44"/>
        <v>0</v>
      </c>
    </row>
    <row r="166" spans="1:24" ht="13.5" thickBot="1" x14ac:dyDescent="0.25">
      <c r="A166" s="720"/>
      <c r="C166" s="438"/>
      <c r="D166" s="438"/>
      <c r="E166" s="581"/>
      <c r="F166" s="438"/>
      <c r="I166" s="438"/>
      <c r="J166" s="438"/>
      <c r="K166" s="581"/>
      <c r="L166" s="438"/>
      <c r="O166" s="438"/>
      <c r="P166" s="581"/>
      <c r="Q166" s="581"/>
      <c r="R166" s="438"/>
    </row>
    <row r="167" spans="1:24" x14ac:dyDescent="0.2">
      <c r="A167" s="1345">
        <v>16</v>
      </c>
      <c r="B167" s="1344" t="s">
        <v>306</v>
      </c>
      <c r="C167" s="1344"/>
      <c r="D167" s="1344"/>
      <c r="E167" s="1344"/>
      <c r="F167" s="1344"/>
      <c r="G167" s="1344"/>
      <c r="I167" s="1344" t="str">
        <f>B167</f>
        <v>KOREKSI EXTECH A.100616</v>
      </c>
      <c r="J167" s="1344"/>
      <c r="K167" s="1344"/>
      <c r="L167" s="1344"/>
      <c r="M167" s="1344"/>
      <c r="N167" s="1344"/>
      <c r="P167" s="1344" t="str">
        <f>I167</f>
        <v>KOREKSI EXTECH A.100616</v>
      </c>
      <c r="Q167" s="1344"/>
      <c r="R167" s="1344"/>
      <c r="S167" s="1344"/>
      <c r="T167" s="1344"/>
      <c r="U167" s="1344"/>
      <c r="W167" s="1338" t="s">
        <v>284</v>
      </c>
      <c r="X167" s="1339"/>
    </row>
    <row r="168" spans="1:24" x14ac:dyDescent="0.2">
      <c r="A168" s="1345"/>
      <c r="B168" s="1340" t="s">
        <v>285</v>
      </c>
      <c r="C168" s="1340"/>
      <c r="D168" s="1340" t="s">
        <v>286</v>
      </c>
      <c r="E168" s="1340"/>
      <c r="F168" s="1340"/>
      <c r="G168" s="1340" t="s">
        <v>287</v>
      </c>
      <c r="I168" s="1340" t="s">
        <v>288</v>
      </c>
      <c r="J168" s="1340"/>
      <c r="K168" s="1340" t="s">
        <v>286</v>
      </c>
      <c r="L168" s="1340"/>
      <c r="M168" s="1340"/>
      <c r="N168" s="1340" t="s">
        <v>287</v>
      </c>
      <c r="P168" s="1340" t="s">
        <v>289</v>
      </c>
      <c r="Q168" s="1340"/>
      <c r="R168" s="1340" t="s">
        <v>286</v>
      </c>
      <c r="S168" s="1340"/>
      <c r="T168" s="1340"/>
      <c r="U168" s="1340" t="s">
        <v>287</v>
      </c>
      <c r="W168" s="711" t="s">
        <v>285</v>
      </c>
      <c r="X168" s="712">
        <v>0.4</v>
      </c>
    </row>
    <row r="169" spans="1:24" ht="15" x14ac:dyDescent="0.2">
      <c r="A169" s="1345"/>
      <c r="B169" s="1341" t="s">
        <v>532</v>
      </c>
      <c r="C169" s="1341"/>
      <c r="D169" s="887">
        <v>2020</v>
      </c>
      <c r="E169" s="888" t="s">
        <v>291</v>
      </c>
      <c r="F169" s="888" t="s">
        <v>291</v>
      </c>
      <c r="G169" s="1340"/>
      <c r="I169" s="1342" t="s">
        <v>22</v>
      </c>
      <c r="J169" s="1341"/>
      <c r="K169" s="887">
        <f>D169</f>
        <v>2020</v>
      </c>
      <c r="L169" s="887" t="str">
        <f>E169</f>
        <v>-</v>
      </c>
      <c r="M169" s="887" t="str">
        <f>F169</f>
        <v>-</v>
      </c>
      <c r="N169" s="1340"/>
      <c r="P169" s="1342" t="s">
        <v>290</v>
      </c>
      <c r="Q169" s="1341"/>
      <c r="R169" s="887">
        <f>K169</f>
        <v>2020</v>
      </c>
      <c r="S169" s="887" t="str">
        <f>L169</f>
        <v>-</v>
      </c>
      <c r="T169" s="887" t="str">
        <f>M169</f>
        <v>-</v>
      </c>
      <c r="U169" s="1340"/>
      <c r="W169" s="711" t="s">
        <v>22</v>
      </c>
      <c r="X169" s="712">
        <v>2.2000000000000002</v>
      </c>
    </row>
    <row r="170" spans="1:24" ht="13.5" thickBot="1" x14ac:dyDescent="0.25">
      <c r="A170" s="1345"/>
      <c r="B170" s="453">
        <v>1</v>
      </c>
      <c r="C170" s="575">
        <v>15</v>
      </c>
      <c r="D170" s="575">
        <v>0.1</v>
      </c>
      <c r="E170" s="575" t="s">
        <v>291</v>
      </c>
      <c r="F170" s="576" t="s">
        <v>291</v>
      </c>
      <c r="G170" s="782">
        <f>0.5*(MAX(D170:F170)-MIN(D170:F170))</f>
        <v>0</v>
      </c>
      <c r="I170" s="453">
        <v>1</v>
      </c>
      <c r="J170" s="575">
        <v>30</v>
      </c>
      <c r="K170" s="575">
        <v>-1.6</v>
      </c>
      <c r="L170" s="575" t="s">
        <v>291</v>
      </c>
      <c r="M170" s="576" t="s">
        <v>291</v>
      </c>
      <c r="N170" s="782">
        <f>0.5*(MAX(K170:M170)-MIN(K170:M170))</f>
        <v>0</v>
      </c>
      <c r="P170" s="453">
        <v>1</v>
      </c>
      <c r="Q170" s="575">
        <v>800</v>
      </c>
      <c r="R170" s="576">
        <v>-2.9</v>
      </c>
      <c r="S170" s="575" t="s">
        <v>291</v>
      </c>
      <c r="T170" s="576" t="s">
        <v>291</v>
      </c>
      <c r="U170" s="782">
        <f>0.5*(MAX(R170:T170)-MIN(R170:T170))</f>
        <v>0</v>
      </c>
      <c r="W170" s="713" t="s">
        <v>290</v>
      </c>
      <c r="X170" s="714">
        <v>2.2999999999999998</v>
      </c>
    </row>
    <row r="171" spans="1:24" x14ac:dyDescent="0.2">
      <c r="A171" s="1345"/>
      <c r="B171" s="453">
        <v>2</v>
      </c>
      <c r="C171" s="575">
        <v>20</v>
      </c>
      <c r="D171" s="575">
        <v>0.2</v>
      </c>
      <c r="E171" s="575" t="s">
        <v>291</v>
      </c>
      <c r="F171" s="576" t="s">
        <v>291</v>
      </c>
      <c r="G171" s="782">
        <f t="shared" ref="G171:G176" si="45">0.5*(MAX(D171:F171)-MIN(D171:F171))</f>
        <v>0</v>
      </c>
      <c r="I171" s="453">
        <v>2</v>
      </c>
      <c r="J171" s="575">
        <v>40</v>
      </c>
      <c r="K171" s="575">
        <v>-1.4</v>
      </c>
      <c r="L171" s="575" t="s">
        <v>291</v>
      </c>
      <c r="M171" s="576" t="s">
        <v>291</v>
      </c>
      <c r="N171" s="782">
        <f t="shared" ref="N171:N176" si="46">0.5*(MAX(K171:M171)-MIN(K171:M171))</f>
        <v>0</v>
      </c>
      <c r="P171" s="453">
        <v>2</v>
      </c>
      <c r="Q171" s="575">
        <v>850</v>
      </c>
      <c r="R171" s="576">
        <v>-2.2999999999999998</v>
      </c>
      <c r="S171" s="575" t="s">
        <v>291</v>
      </c>
      <c r="T171" s="576" t="s">
        <v>291</v>
      </c>
      <c r="U171" s="782">
        <f t="shared" ref="U171:U176" si="47">0.5*(MAX(R171:T171)-MIN(R171:T171))</f>
        <v>0</v>
      </c>
    </row>
    <row r="172" spans="1:24" x14ac:dyDescent="0.2">
      <c r="A172" s="1345"/>
      <c r="B172" s="453">
        <v>3</v>
      </c>
      <c r="C172" s="575">
        <v>25</v>
      </c>
      <c r="D172" s="575">
        <v>0.2</v>
      </c>
      <c r="E172" s="575" t="s">
        <v>291</v>
      </c>
      <c r="F172" s="576" t="s">
        <v>291</v>
      </c>
      <c r="G172" s="782">
        <f t="shared" si="45"/>
        <v>0</v>
      </c>
      <c r="I172" s="453">
        <v>3</v>
      </c>
      <c r="J172" s="575">
        <v>50</v>
      </c>
      <c r="K172" s="575">
        <v>-1.4</v>
      </c>
      <c r="L172" s="575" t="s">
        <v>291</v>
      </c>
      <c r="M172" s="576" t="s">
        <v>291</v>
      </c>
      <c r="N172" s="782">
        <f t="shared" si="46"/>
        <v>0</v>
      </c>
      <c r="P172" s="453">
        <v>3</v>
      </c>
      <c r="Q172" s="580">
        <v>900</v>
      </c>
      <c r="R172" s="577">
        <v>-1.7</v>
      </c>
      <c r="S172" s="575" t="s">
        <v>291</v>
      </c>
      <c r="T172" s="576" t="s">
        <v>291</v>
      </c>
      <c r="U172" s="782">
        <f t="shared" si="47"/>
        <v>0</v>
      </c>
    </row>
    <row r="173" spans="1:24" x14ac:dyDescent="0.2">
      <c r="A173" s="1345"/>
      <c r="B173" s="453">
        <v>4</v>
      </c>
      <c r="C173" s="580">
        <v>30</v>
      </c>
      <c r="D173" s="580">
        <v>0.2</v>
      </c>
      <c r="E173" s="577" t="s">
        <v>291</v>
      </c>
      <c r="F173" s="576" t="s">
        <v>291</v>
      </c>
      <c r="G173" s="782">
        <f t="shared" si="45"/>
        <v>0</v>
      </c>
      <c r="I173" s="453">
        <v>4</v>
      </c>
      <c r="J173" s="580">
        <v>60</v>
      </c>
      <c r="K173" s="580">
        <v>-1.5</v>
      </c>
      <c r="L173" s="577" t="s">
        <v>291</v>
      </c>
      <c r="M173" s="576" t="s">
        <v>291</v>
      </c>
      <c r="N173" s="782">
        <f t="shared" si="46"/>
        <v>0</v>
      </c>
      <c r="P173" s="453">
        <v>4</v>
      </c>
      <c r="Q173" s="580">
        <v>950</v>
      </c>
      <c r="R173" s="577">
        <v>-1.1000000000000001</v>
      </c>
      <c r="S173" s="577" t="s">
        <v>291</v>
      </c>
      <c r="T173" s="576" t="s">
        <v>291</v>
      </c>
      <c r="U173" s="782">
        <f t="shared" si="47"/>
        <v>0</v>
      </c>
    </row>
    <row r="174" spans="1:24" x14ac:dyDescent="0.2">
      <c r="A174" s="1345"/>
      <c r="B174" s="453">
        <v>5</v>
      </c>
      <c r="C174" s="580">
        <v>35</v>
      </c>
      <c r="D174" s="580">
        <v>0.1</v>
      </c>
      <c r="E174" s="577" t="s">
        <v>291</v>
      </c>
      <c r="F174" s="576" t="s">
        <v>291</v>
      </c>
      <c r="G174" s="782">
        <f t="shared" si="45"/>
        <v>0</v>
      </c>
      <c r="I174" s="453">
        <v>5</v>
      </c>
      <c r="J174" s="580">
        <v>70</v>
      </c>
      <c r="K174" s="580">
        <v>-1.8</v>
      </c>
      <c r="L174" s="577" t="s">
        <v>291</v>
      </c>
      <c r="M174" s="576" t="s">
        <v>291</v>
      </c>
      <c r="N174" s="782">
        <f t="shared" si="46"/>
        <v>0</v>
      </c>
      <c r="P174" s="453">
        <v>5</v>
      </c>
      <c r="Q174" s="580">
        <v>1000</v>
      </c>
      <c r="R174" s="577">
        <v>-0.4</v>
      </c>
      <c r="S174" s="577" t="s">
        <v>291</v>
      </c>
      <c r="T174" s="576" t="s">
        <v>291</v>
      </c>
      <c r="U174" s="782">
        <f t="shared" si="47"/>
        <v>0</v>
      </c>
    </row>
    <row r="175" spans="1:24" x14ac:dyDescent="0.2">
      <c r="A175" s="1345"/>
      <c r="B175" s="453">
        <v>6</v>
      </c>
      <c r="C175" s="580">
        <v>37</v>
      </c>
      <c r="D175" s="580">
        <v>9.9999999999999995E-7</v>
      </c>
      <c r="E175" s="577" t="s">
        <v>291</v>
      </c>
      <c r="F175" s="576" t="s">
        <v>291</v>
      </c>
      <c r="G175" s="782">
        <f t="shared" si="45"/>
        <v>0</v>
      </c>
      <c r="I175" s="453">
        <v>6</v>
      </c>
      <c r="J175" s="580">
        <v>80</v>
      </c>
      <c r="K175" s="580">
        <v>-2.2999999999999998</v>
      </c>
      <c r="L175" s="577" t="s">
        <v>291</v>
      </c>
      <c r="M175" s="576" t="s">
        <v>291</v>
      </c>
      <c r="N175" s="782">
        <f t="shared" si="46"/>
        <v>0</v>
      </c>
      <c r="P175" s="453">
        <v>6</v>
      </c>
      <c r="Q175" s="580">
        <v>1005</v>
      </c>
      <c r="R175" s="577">
        <v>-0.4</v>
      </c>
      <c r="S175" s="577" t="s">
        <v>291</v>
      </c>
      <c r="T175" s="576" t="s">
        <v>291</v>
      </c>
      <c r="U175" s="782">
        <f t="shared" si="47"/>
        <v>0</v>
      </c>
    </row>
    <row r="176" spans="1:24" x14ac:dyDescent="0.2">
      <c r="A176" s="1345"/>
      <c r="B176" s="453">
        <v>7</v>
      </c>
      <c r="C176" s="580">
        <v>40</v>
      </c>
      <c r="D176" s="580">
        <v>9.9999999999999995E-7</v>
      </c>
      <c r="E176" s="577" t="s">
        <v>291</v>
      </c>
      <c r="F176" s="576" t="s">
        <v>291</v>
      </c>
      <c r="G176" s="782">
        <f t="shared" si="45"/>
        <v>0</v>
      </c>
      <c r="I176" s="453">
        <v>7</v>
      </c>
      <c r="J176" s="580">
        <v>90</v>
      </c>
      <c r="K176" s="580">
        <v>-3</v>
      </c>
      <c r="L176" s="577" t="s">
        <v>291</v>
      </c>
      <c r="M176" s="576" t="s">
        <v>291</v>
      </c>
      <c r="N176" s="782">
        <f t="shared" si="46"/>
        <v>0</v>
      </c>
      <c r="P176" s="453">
        <v>7</v>
      </c>
      <c r="Q176" s="580">
        <v>1020</v>
      </c>
      <c r="R176" s="577">
        <v>9.9999999999999995E-7</v>
      </c>
      <c r="S176" s="577" t="s">
        <v>291</v>
      </c>
      <c r="T176" s="576" t="s">
        <v>291</v>
      </c>
      <c r="U176" s="782">
        <f t="shared" si="47"/>
        <v>0</v>
      </c>
    </row>
    <row r="177" spans="1:24" ht="13.5" thickBot="1" x14ac:dyDescent="0.25">
      <c r="A177" s="720"/>
      <c r="C177" s="438"/>
      <c r="D177" s="438"/>
      <c r="E177" s="581"/>
      <c r="F177" s="438"/>
      <c r="J177" s="438"/>
      <c r="K177" s="438"/>
      <c r="L177" s="581"/>
      <c r="M177" s="438"/>
      <c r="Q177" s="438"/>
      <c r="R177" s="581"/>
      <c r="S177" s="581"/>
      <c r="T177" s="438"/>
    </row>
    <row r="178" spans="1:24" x14ac:dyDescent="0.2">
      <c r="A178" s="1345">
        <v>17</v>
      </c>
      <c r="B178" s="1344" t="s">
        <v>307</v>
      </c>
      <c r="C178" s="1344"/>
      <c r="D178" s="1344"/>
      <c r="E178" s="1344"/>
      <c r="F178" s="1344"/>
      <c r="G178" s="1344"/>
      <c r="I178" s="1344" t="str">
        <f>B178</f>
        <v>KOREKSI EXTECH A.100617</v>
      </c>
      <c r="J178" s="1344"/>
      <c r="K178" s="1344"/>
      <c r="L178" s="1344"/>
      <c r="M178" s="1344"/>
      <c r="N178" s="1344"/>
      <c r="P178" s="1344" t="str">
        <f>I178</f>
        <v>KOREKSI EXTECH A.100617</v>
      </c>
      <c r="Q178" s="1344"/>
      <c r="R178" s="1344"/>
      <c r="S178" s="1344"/>
      <c r="T178" s="1344"/>
      <c r="U178" s="1344"/>
      <c r="W178" s="1338" t="s">
        <v>284</v>
      </c>
      <c r="X178" s="1339"/>
    </row>
    <row r="179" spans="1:24" x14ac:dyDescent="0.2">
      <c r="A179" s="1345"/>
      <c r="B179" s="1340" t="s">
        <v>285</v>
      </c>
      <c r="C179" s="1340"/>
      <c r="D179" s="1340" t="s">
        <v>286</v>
      </c>
      <c r="E179" s="1340"/>
      <c r="F179" s="1340"/>
      <c r="G179" s="1340" t="s">
        <v>287</v>
      </c>
      <c r="I179" s="1340" t="s">
        <v>288</v>
      </c>
      <c r="J179" s="1340"/>
      <c r="K179" s="1340" t="s">
        <v>286</v>
      </c>
      <c r="L179" s="1340"/>
      <c r="M179" s="1340"/>
      <c r="N179" s="1340" t="s">
        <v>287</v>
      </c>
      <c r="P179" s="1340" t="s">
        <v>289</v>
      </c>
      <c r="Q179" s="1340"/>
      <c r="R179" s="1340" t="s">
        <v>286</v>
      </c>
      <c r="S179" s="1340"/>
      <c r="T179" s="1340"/>
      <c r="U179" s="1340" t="s">
        <v>287</v>
      </c>
      <c r="W179" s="711" t="s">
        <v>285</v>
      </c>
      <c r="X179" s="712">
        <v>0.3</v>
      </c>
    </row>
    <row r="180" spans="1:24" ht="15" x14ac:dyDescent="0.2">
      <c r="A180" s="1345"/>
      <c r="B180" s="1341" t="s">
        <v>532</v>
      </c>
      <c r="C180" s="1341"/>
      <c r="D180" s="887">
        <v>2020</v>
      </c>
      <c r="E180" s="888" t="s">
        <v>291</v>
      </c>
      <c r="F180" s="888" t="s">
        <v>291</v>
      </c>
      <c r="G180" s="1340"/>
      <c r="I180" s="1342" t="s">
        <v>22</v>
      </c>
      <c r="J180" s="1341"/>
      <c r="K180" s="887">
        <f>D180</f>
        <v>2020</v>
      </c>
      <c r="L180" s="887" t="str">
        <f>E180</f>
        <v>-</v>
      </c>
      <c r="M180" s="887" t="str">
        <f>F180</f>
        <v>-</v>
      </c>
      <c r="N180" s="1340"/>
      <c r="P180" s="1342" t="s">
        <v>290</v>
      </c>
      <c r="Q180" s="1341"/>
      <c r="R180" s="887">
        <f>K180</f>
        <v>2020</v>
      </c>
      <c r="S180" s="887" t="str">
        <f>L180</f>
        <v>-</v>
      </c>
      <c r="T180" s="887" t="str">
        <f>M180</f>
        <v>-</v>
      </c>
      <c r="U180" s="1340"/>
      <c r="W180" s="711" t="s">
        <v>22</v>
      </c>
      <c r="X180" s="712">
        <v>2.8</v>
      </c>
    </row>
    <row r="181" spans="1:24" ht="13.5" thickBot="1" x14ac:dyDescent="0.25">
      <c r="A181" s="1345"/>
      <c r="B181" s="453">
        <v>1</v>
      </c>
      <c r="C181" s="575">
        <v>15</v>
      </c>
      <c r="D181" s="575">
        <v>0.1</v>
      </c>
      <c r="E181" s="575" t="s">
        <v>291</v>
      </c>
      <c r="F181" s="576" t="s">
        <v>291</v>
      </c>
      <c r="G181" s="782">
        <f>0.5*(MAX(D181:F181)-MIN(D181:F181))</f>
        <v>0</v>
      </c>
      <c r="I181" s="453">
        <v>1</v>
      </c>
      <c r="J181" s="575">
        <v>30</v>
      </c>
      <c r="K181" s="575">
        <v>0.1</v>
      </c>
      <c r="L181" s="575" t="s">
        <v>291</v>
      </c>
      <c r="M181" s="576" t="s">
        <v>291</v>
      </c>
      <c r="N181" s="782">
        <f>0.5*(MAX(K181:M181)-MIN(K181:M181))</f>
        <v>0</v>
      </c>
      <c r="P181" s="453">
        <v>1</v>
      </c>
      <c r="Q181" s="575">
        <v>960</v>
      </c>
      <c r="R181" s="576">
        <v>-0.6</v>
      </c>
      <c r="S181" s="575" t="s">
        <v>291</v>
      </c>
      <c r="T181" s="576" t="s">
        <v>291</v>
      </c>
      <c r="U181" s="782">
        <f>0.5*(MAX(R181:T181)-MIN(R181:T181))</f>
        <v>0</v>
      </c>
      <c r="W181" s="713" t="s">
        <v>290</v>
      </c>
      <c r="X181" s="714">
        <v>2.1</v>
      </c>
    </row>
    <row r="182" spans="1:24" x14ac:dyDescent="0.2">
      <c r="A182" s="1345"/>
      <c r="B182" s="453">
        <v>2</v>
      </c>
      <c r="C182" s="575">
        <v>20</v>
      </c>
      <c r="D182" s="575">
        <v>0.1</v>
      </c>
      <c r="E182" s="575" t="s">
        <v>291</v>
      </c>
      <c r="F182" s="576" t="s">
        <v>291</v>
      </c>
      <c r="G182" s="782">
        <f t="shared" ref="G182:G187" si="48">0.5*(MAX(D182:F182)-MIN(D182:F182))</f>
        <v>0</v>
      </c>
      <c r="I182" s="453">
        <v>2</v>
      </c>
      <c r="J182" s="575">
        <v>40</v>
      </c>
      <c r="K182" s="575">
        <v>0.2</v>
      </c>
      <c r="L182" s="575" t="s">
        <v>291</v>
      </c>
      <c r="M182" s="576" t="s">
        <v>291</v>
      </c>
      <c r="N182" s="782">
        <f t="shared" ref="N182:N187" si="49">0.5*(MAX(K182:M182)-MIN(K182:M182))</f>
        <v>0</v>
      </c>
      <c r="P182" s="453">
        <v>2</v>
      </c>
      <c r="Q182" s="575">
        <v>970</v>
      </c>
      <c r="R182" s="576">
        <v>-0.6</v>
      </c>
      <c r="S182" s="575" t="s">
        <v>291</v>
      </c>
      <c r="T182" s="576" t="s">
        <v>291</v>
      </c>
      <c r="U182" s="782">
        <f t="shared" ref="U182:U187" si="50">0.5*(MAX(R182:T182)-MIN(R182:T182))</f>
        <v>0</v>
      </c>
    </row>
    <row r="183" spans="1:24" x14ac:dyDescent="0.2">
      <c r="A183" s="1345"/>
      <c r="B183" s="453">
        <v>3</v>
      </c>
      <c r="C183" s="575">
        <v>25</v>
      </c>
      <c r="D183" s="575">
        <v>9.9999999999999995E-7</v>
      </c>
      <c r="E183" s="575" t="s">
        <v>291</v>
      </c>
      <c r="F183" s="576" t="s">
        <v>291</v>
      </c>
      <c r="G183" s="782">
        <f t="shared" si="48"/>
        <v>0</v>
      </c>
      <c r="I183" s="453">
        <v>3</v>
      </c>
      <c r="J183" s="575">
        <v>50</v>
      </c>
      <c r="K183" s="575">
        <v>0.2</v>
      </c>
      <c r="L183" s="575" t="s">
        <v>291</v>
      </c>
      <c r="M183" s="576" t="s">
        <v>291</v>
      </c>
      <c r="N183" s="782">
        <f t="shared" si="49"/>
        <v>0</v>
      </c>
      <c r="P183" s="453">
        <v>3</v>
      </c>
      <c r="Q183" s="580">
        <v>980</v>
      </c>
      <c r="R183" s="577">
        <v>-0.6</v>
      </c>
      <c r="S183" s="575" t="s">
        <v>291</v>
      </c>
      <c r="T183" s="576" t="s">
        <v>291</v>
      </c>
      <c r="U183" s="782">
        <f t="shared" si="50"/>
        <v>0</v>
      </c>
    </row>
    <row r="184" spans="1:24" x14ac:dyDescent="0.2">
      <c r="A184" s="1345"/>
      <c r="B184" s="453">
        <v>4</v>
      </c>
      <c r="C184" s="580">
        <v>30</v>
      </c>
      <c r="D184" s="580">
        <v>-0.2</v>
      </c>
      <c r="E184" s="577" t="s">
        <v>291</v>
      </c>
      <c r="F184" s="576" t="s">
        <v>291</v>
      </c>
      <c r="G184" s="782">
        <f t="shared" si="48"/>
        <v>0</v>
      </c>
      <c r="I184" s="453">
        <v>4</v>
      </c>
      <c r="J184" s="580">
        <v>60</v>
      </c>
      <c r="K184" s="580">
        <v>9.9999999999999995E-7</v>
      </c>
      <c r="L184" s="577" t="s">
        <v>291</v>
      </c>
      <c r="M184" s="576" t="s">
        <v>291</v>
      </c>
      <c r="N184" s="782">
        <f t="shared" si="49"/>
        <v>0</v>
      </c>
      <c r="P184" s="453">
        <v>4</v>
      </c>
      <c r="Q184" s="580">
        <v>990</v>
      </c>
      <c r="R184" s="577">
        <v>-0.6</v>
      </c>
      <c r="S184" s="577" t="s">
        <v>291</v>
      </c>
      <c r="T184" s="576" t="s">
        <v>291</v>
      </c>
      <c r="U184" s="782">
        <f t="shared" si="50"/>
        <v>0</v>
      </c>
    </row>
    <row r="185" spans="1:24" x14ac:dyDescent="0.2">
      <c r="A185" s="1345"/>
      <c r="B185" s="453">
        <v>5</v>
      </c>
      <c r="C185" s="580">
        <v>35</v>
      </c>
      <c r="D185" s="580">
        <v>-0.5</v>
      </c>
      <c r="E185" s="577" t="s">
        <v>291</v>
      </c>
      <c r="F185" s="576" t="s">
        <v>291</v>
      </c>
      <c r="G185" s="782">
        <f t="shared" si="48"/>
        <v>0</v>
      </c>
      <c r="I185" s="453">
        <v>5</v>
      </c>
      <c r="J185" s="580">
        <v>70</v>
      </c>
      <c r="K185" s="580">
        <v>-0.3</v>
      </c>
      <c r="L185" s="577" t="s">
        <v>291</v>
      </c>
      <c r="M185" s="576" t="s">
        <v>291</v>
      </c>
      <c r="N185" s="782">
        <f t="shared" si="49"/>
        <v>0</v>
      </c>
      <c r="P185" s="453">
        <v>5</v>
      </c>
      <c r="Q185" s="580">
        <v>1000</v>
      </c>
      <c r="R185" s="577">
        <v>-0.6</v>
      </c>
      <c r="S185" s="577" t="s">
        <v>291</v>
      </c>
      <c r="T185" s="576" t="s">
        <v>291</v>
      </c>
      <c r="U185" s="782">
        <f t="shared" si="50"/>
        <v>0</v>
      </c>
    </row>
    <row r="186" spans="1:24" x14ac:dyDescent="0.2">
      <c r="A186" s="1345"/>
      <c r="B186" s="453">
        <v>6</v>
      </c>
      <c r="C186" s="580">
        <v>37</v>
      </c>
      <c r="D186" s="580">
        <v>-0.6</v>
      </c>
      <c r="E186" s="577" t="s">
        <v>291</v>
      </c>
      <c r="F186" s="576" t="s">
        <v>291</v>
      </c>
      <c r="G186" s="782">
        <f t="shared" si="48"/>
        <v>0</v>
      </c>
      <c r="I186" s="453">
        <v>6</v>
      </c>
      <c r="J186" s="580">
        <v>80</v>
      </c>
      <c r="K186" s="580">
        <v>-0.8</v>
      </c>
      <c r="L186" s="577" t="s">
        <v>291</v>
      </c>
      <c r="M186" s="576" t="s">
        <v>291</v>
      </c>
      <c r="N186" s="782">
        <f t="shared" si="49"/>
        <v>0</v>
      </c>
      <c r="P186" s="453">
        <v>6</v>
      </c>
      <c r="Q186" s="580">
        <v>1005</v>
      </c>
      <c r="R186" s="577">
        <v>-0.6</v>
      </c>
      <c r="S186" s="577" t="s">
        <v>291</v>
      </c>
      <c r="T186" s="576" t="s">
        <v>291</v>
      </c>
      <c r="U186" s="782">
        <f t="shared" si="50"/>
        <v>0</v>
      </c>
    </row>
    <row r="187" spans="1:24" x14ac:dyDescent="0.2">
      <c r="A187" s="1345"/>
      <c r="B187" s="453">
        <v>7</v>
      </c>
      <c r="C187" s="580">
        <v>40</v>
      </c>
      <c r="D187" s="580">
        <v>-0.8</v>
      </c>
      <c r="E187" s="577" t="s">
        <v>291</v>
      </c>
      <c r="F187" s="576" t="s">
        <v>291</v>
      </c>
      <c r="G187" s="782">
        <f t="shared" si="48"/>
        <v>0</v>
      </c>
      <c r="I187" s="453">
        <v>7</v>
      </c>
      <c r="J187" s="580">
        <v>90</v>
      </c>
      <c r="K187" s="580">
        <v>-1.4</v>
      </c>
      <c r="L187" s="577" t="s">
        <v>291</v>
      </c>
      <c r="M187" s="576" t="s">
        <v>291</v>
      </c>
      <c r="N187" s="782">
        <f t="shared" si="49"/>
        <v>0</v>
      </c>
      <c r="P187" s="453">
        <v>7</v>
      </c>
      <c r="Q187" s="580">
        <v>1020</v>
      </c>
      <c r="R187" s="577">
        <v>9.9999999999999995E-7</v>
      </c>
      <c r="S187" s="577" t="s">
        <v>291</v>
      </c>
      <c r="T187" s="576" t="s">
        <v>291</v>
      </c>
      <c r="U187" s="782">
        <f t="shared" si="50"/>
        <v>0</v>
      </c>
    </row>
    <row r="188" spans="1:24" ht="13.5" thickBot="1" x14ac:dyDescent="0.25">
      <c r="A188" s="720"/>
      <c r="C188" s="438"/>
      <c r="D188" s="438"/>
      <c r="E188" s="581"/>
      <c r="F188" s="438"/>
      <c r="J188" s="438"/>
      <c r="K188" s="438"/>
      <c r="L188" s="581"/>
      <c r="M188" s="438"/>
      <c r="Q188" s="438"/>
      <c r="R188" s="581"/>
      <c r="S188" s="581"/>
      <c r="T188" s="438"/>
    </row>
    <row r="189" spans="1:24" x14ac:dyDescent="0.2">
      <c r="A189" s="1345">
        <v>18</v>
      </c>
      <c r="B189" s="1344" t="s">
        <v>308</v>
      </c>
      <c r="C189" s="1344"/>
      <c r="D189" s="1344"/>
      <c r="E189" s="1344"/>
      <c r="F189" s="1344"/>
      <c r="G189" s="1344"/>
      <c r="I189" s="1344" t="str">
        <f>B189</f>
        <v>KOREKSI EXTECH A.100618</v>
      </c>
      <c r="J189" s="1344"/>
      <c r="K189" s="1344"/>
      <c r="L189" s="1344"/>
      <c r="M189" s="1344"/>
      <c r="N189" s="1344"/>
      <c r="P189" s="1344" t="str">
        <f>I189</f>
        <v>KOREKSI EXTECH A.100618</v>
      </c>
      <c r="Q189" s="1344"/>
      <c r="R189" s="1344"/>
      <c r="S189" s="1344"/>
      <c r="T189" s="1344"/>
      <c r="U189" s="1344"/>
      <c r="W189" s="1338" t="s">
        <v>284</v>
      </c>
      <c r="X189" s="1339"/>
    </row>
    <row r="190" spans="1:24" x14ac:dyDescent="0.2">
      <c r="A190" s="1345"/>
      <c r="B190" s="1340" t="s">
        <v>285</v>
      </c>
      <c r="C190" s="1340"/>
      <c r="D190" s="1340" t="s">
        <v>286</v>
      </c>
      <c r="E190" s="1340"/>
      <c r="F190" s="1340"/>
      <c r="G190" s="1340" t="s">
        <v>287</v>
      </c>
      <c r="I190" s="1340" t="s">
        <v>288</v>
      </c>
      <c r="J190" s="1340"/>
      <c r="K190" s="1340" t="s">
        <v>286</v>
      </c>
      <c r="L190" s="1340"/>
      <c r="M190" s="1340"/>
      <c r="N190" s="1340" t="s">
        <v>287</v>
      </c>
      <c r="P190" s="1340" t="s">
        <v>289</v>
      </c>
      <c r="Q190" s="1340"/>
      <c r="R190" s="1340" t="s">
        <v>286</v>
      </c>
      <c r="S190" s="1340"/>
      <c r="T190" s="1340"/>
      <c r="U190" s="1340" t="s">
        <v>287</v>
      </c>
      <c r="W190" s="711" t="s">
        <v>285</v>
      </c>
      <c r="X190" s="712">
        <v>0.3</v>
      </c>
    </row>
    <row r="191" spans="1:24" ht="15" x14ac:dyDescent="0.2">
      <c r="A191" s="1345"/>
      <c r="B191" s="1341" t="s">
        <v>532</v>
      </c>
      <c r="C191" s="1341"/>
      <c r="D191" s="887">
        <v>2020</v>
      </c>
      <c r="E191" s="888" t="s">
        <v>291</v>
      </c>
      <c r="F191" s="888" t="s">
        <v>291</v>
      </c>
      <c r="G191" s="1340"/>
      <c r="I191" s="1342" t="s">
        <v>22</v>
      </c>
      <c r="J191" s="1341"/>
      <c r="K191" s="887">
        <f>D191</f>
        <v>2020</v>
      </c>
      <c r="L191" s="887" t="str">
        <f>E191</f>
        <v>-</v>
      </c>
      <c r="M191" s="887" t="str">
        <f>F191</f>
        <v>-</v>
      </c>
      <c r="N191" s="1340"/>
      <c r="P191" s="1342" t="s">
        <v>290</v>
      </c>
      <c r="Q191" s="1341"/>
      <c r="R191" s="887">
        <f>K191</f>
        <v>2020</v>
      </c>
      <c r="S191" s="887" t="str">
        <f>L191</f>
        <v>-</v>
      </c>
      <c r="T191" s="887" t="str">
        <f>M191</f>
        <v>-</v>
      </c>
      <c r="U191" s="1340"/>
      <c r="W191" s="711" t="s">
        <v>22</v>
      </c>
      <c r="X191" s="712">
        <v>1.6</v>
      </c>
    </row>
    <row r="192" spans="1:24" ht="13.5" thickBot="1" x14ac:dyDescent="0.25">
      <c r="A192" s="1345"/>
      <c r="B192" s="453">
        <v>1</v>
      </c>
      <c r="C192" s="575">
        <v>15</v>
      </c>
      <c r="D192" s="575">
        <v>9.9999999999999995E-7</v>
      </c>
      <c r="E192" s="575" t="s">
        <v>291</v>
      </c>
      <c r="F192" s="576" t="s">
        <v>291</v>
      </c>
      <c r="G192" s="782">
        <f>0.5*(MAX(D192:F192)-MIN(D192:F192))</f>
        <v>0</v>
      </c>
      <c r="I192" s="453">
        <v>1</v>
      </c>
      <c r="J192" s="575">
        <v>30</v>
      </c>
      <c r="K192" s="575">
        <v>-0.4</v>
      </c>
      <c r="L192" s="575" t="s">
        <v>291</v>
      </c>
      <c r="M192" s="576" t="s">
        <v>291</v>
      </c>
      <c r="N192" s="782">
        <f>0.5*(MAX(K192:M192)-MIN(K192:M192))</f>
        <v>0</v>
      </c>
      <c r="P192" s="453">
        <v>1</v>
      </c>
      <c r="Q192" s="575">
        <v>800</v>
      </c>
      <c r="R192" s="576">
        <v>-1.5</v>
      </c>
      <c r="S192" s="575" t="s">
        <v>291</v>
      </c>
      <c r="T192" s="576" t="s">
        <v>291</v>
      </c>
      <c r="U192" s="782">
        <f>0.5*(MAX(R192:T192)-MIN(R192:T192))</f>
        <v>0</v>
      </c>
      <c r="W192" s="713" t="s">
        <v>290</v>
      </c>
      <c r="X192" s="714">
        <v>2.4</v>
      </c>
    </row>
    <row r="193" spans="1:24" x14ac:dyDescent="0.2">
      <c r="A193" s="1345"/>
      <c r="B193" s="453">
        <v>2</v>
      </c>
      <c r="C193" s="575">
        <v>20</v>
      </c>
      <c r="D193" s="575">
        <v>-0.1</v>
      </c>
      <c r="E193" s="575" t="s">
        <v>291</v>
      </c>
      <c r="F193" s="576" t="s">
        <v>291</v>
      </c>
      <c r="G193" s="782">
        <f t="shared" ref="G193:G198" si="51">0.5*(MAX(D193:F193)-MIN(D193:F193))</f>
        <v>0</v>
      </c>
      <c r="I193" s="453">
        <v>2</v>
      </c>
      <c r="J193" s="575">
        <v>40</v>
      </c>
      <c r="K193" s="575">
        <v>-0.2</v>
      </c>
      <c r="L193" s="575" t="s">
        <v>291</v>
      </c>
      <c r="M193" s="576" t="s">
        <v>291</v>
      </c>
      <c r="N193" s="782">
        <f t="shared" ref="N193:N198" si="52">0.5*(MAX(K193:M193)-MIN(K193:M193))</f>
        <v>0</v>
      </c>
      <c r="P193" s="453">
        <v>2</v>
      </c>
      <c r="Q193" s="575">
        <v>850</v>
      </c>
      <c r="R193" s="576">
        <v>-1.3</v>
      </c>
      <c r="S193" s="575" t="s">
        <v>291</v>
      </c>
      <c r="T193" s="576" t="s">
        <v>291</v>
      </c>
      <c r="U193" s="782">
        <f t="shared" ref="U193:U198" si="53">0.5*(MAX(R193:T193)-MIN(R193:T193))</f>
        <v>0</v>
      </c>
    </row>
    <row r="194" spans="1:24" x14ac:dyDescent="0.2">
      <c r="A194" s="1345"/>
      <c r="B194" s="453">
        <v>3</v>
      </c>
      <c r="C194" s="575">
        <v>25</v>
      </c>
      <c r="D194" s="575">
        <v>-0.2</v>
      </c>
      <c r="E194" s="575" t="s">
        <v>291</v>
      </c>
      <c r="F194" s="576" t="s">
        <v>291</v>
      </c>
      <c r="G194" s="782">
        <f t="shared" si="51"/>
        <v>0</v>
      </c>
      <c r="I194" s="453">
        <v>3</v>
      </c>
      <c r="J194" s="575">
        <v>50</v>
      </c>
      <c r="K194" s="575">
        <v>-0.2</v>
      </c>
      <c r="L194" s="575" t="s">
        <v>291</v>
      </c>
      <c r="M194" s="576" t="s">
        <v>291</v>
      </c>
      <c r="N194" s="782">
        <f t="shared" si="52"/>
        <v>0</v>
      </c>
      <c r="P194" s="453">
        <v>3</v>
      </c>
      <c r="Q194" s="580">
        <v>900</v>
      </c>
      <c r="R194" s="577">
        <v>-1.1000000000000001</v>
      </c>
      <c r="S194" s="575" t="s">
        <v>291</v>
      </c>
      <c r="T194" s="576" t="s">
        <v>291</v>
      </c>
      <c r="U194" s="782">
        <f t="shared" si="53"/>
        <v>0</v>
      </c>
    </row>
    <row r="195" spans="1:24" x14ac:dyDescent="0.2">
      <c r="A195" s="1345"/>
      <c r="B195" s="453">
        <v>4</v>
      </c>
      <c r="C195" s="580">
        <v>30</v>
      </c>
      <c r="D195" s="580">
        <v>-0.2</v>
      </c>
      <c r="E195" s="577" t="s">
        <v>291</v>
      </c>
      <c r="F195" s="576" t="s">
        <v>291</v>
      </c>
      <c r="G195" s="782">
        <f t="shared" si="51"/>
        <v>0</v>
      </c>
      <c r="I195" s="453">
        <v>4</v>
      </c>
      <c r="J195" s="580">
        <v>60</v>
      </c>
      <c r="K195" s="580">
        <v>-0.2</v>
      </c>
      <c r="L195" s="577" t="s">
        <v>291</v>
      </c>
      <c r="M195" s="576" t="s">
        <v>291</v>
      </c>
      <c r="N195" s="782">
        <f t="shared" si="52"/>
        <v>0</v>
      </c>
      <c r="P195" s="453">
        <v>4</v>
      </c>
      <c r="Q195" s="580">
        <v>950</v>
      </c>
      <c r="R195" s="577">
        <v>-0.9</v>
      </c>
      <c r="S195" s="577" t="s">
        <v>291</v>
      </c>
      <c r="T195" s="576" t="s">
        <v>291</v>
      </c>
      <c r="U195" s="782">
        <f t="shared" si="53"/>
        <v>0</v>
      </c>
    </row>
    <row r="196" spans="1:24" x14ac:dyDescent="0.2">
      <c r="A196" s="1345"/>
      <c r="B196" s="453">
        <v>5</v>
      </c>
      <c r="C196" s="580">
        <v>35</v>
      </c>
      <c r="D196" s="580">
        <v>-0.3</v>
      </c>
      <c r="E196" s="577" t="s">
        <v>291</v>
      </c>
      <c r="F196" s="576" t="s">
        <v>291</v>
      </c>
      <c r="G196" s="782">
        <f t="shared" si="51"/>
        <v>0</v>
      </c>
      <c r="I196" s="453">
        <v>5</v>
      </c>
      <c r="J196" s="580">
        <v>70</v>
      </c>
      <c r="K196" s="580">
        <v>-0.3</v>
      </c>
      <c r="L196" s="577" t="s">
        <v>291</v>
      </c>
      <c r="M196" s="576" t="s">
        <v>291</v>
      </c>
      <c r="N196" s="782">
        <f t="shared" si="52"/>
        <v>0</v>
      </c>
      <c r="P196" s="453">
        <v>5</v>
      </c>
      <c r="Q196" s="580">
        <v>1000</v>
      </c>
      <c r="R196" s="577">
        <v>-0.8</v>
      </c>
      <c r="S196" s="577" t="s">
        <v>291</v>
      </c>
      <c r="T196" s="576" t="s">
        <v>291</v>
      </c>
      <c r="U196" s="782">
        <f t="shared" si="53"/>
        <v>0</v>
      </c>
    </row>
    <row r="197" spans="1:24" x14ac:dyDescent="0.2">
      <c r="A197" s="1345"/>
      <c r="B197" s="453">
        <v>6</v>
      </c>
      <c r="C197" s="580">
        <v>37</v>
      </c>
      <c r="D197" s="580">
        <v>-0.3</v>
      </c>
      <c r="E197" s="577" t="s">
        <v>291</v>
      </c>
      <c r="F197" s="576" t="s">
        <v>291</v>
      </c>
      <c r="G197" s="782">
        <f t="shared" si="51"/>
        <v>0</v>
      </c>
      <c r="I197" s="453">
        <v>6</v>
      </c>
      <c r="J197" s="580">
        <v>80</v>
      </c>
      <c r="K197" s="580">
        <v>-0.5</v>
      </c>
      <c r="L197" s="577" t="s">
        <v>291</v>
      </c>
      <c r="M197" s="576" t="s">
        <v>291</v>
      </c>
      <c r="N197" s="782">
        <f t="shared" si="52"/>
        <v>0</v>
      </c>
      <c r="P197" s="453">
        <v>6</v>
      </c>
      <c r="Q197" s="580">
        <v>1005</v>
      </c>
      <c r="R197" s="577">
        <v>-0.7</v>
      </c>
      <c r="S197" s="577" t="s">
        <v>291</v>
      </c>
      <c r="T197" s="576" t="s">
        <v>291</v>
      </c>
      <c r="U197" s="782">
        <f t="shared" si="53"/>
        <v>0</v>
      </c>
    </row>
    <row r="198" spans="1:24" x14ac:dyDescent="0.2">
      <c r="A198" s="1345"/>
      <c r="B198" s="453">
        <v>7</v>
      </c>
      <c r="C198" s="580">
        <v>40</v>
      </c>
      <c r="D198" s="580">
        <v>-0.4</v>
      </c>
      <c r="E198" s="577" t="s">
        <v>291</v>
      </c>
      <c r="F198" s="576" t="s">
        <v>291</v>
      </c>
      <c r="G198" s="782">
        <f t="shared" si="51"/>
        <v>0</v>
      </c>
      <c r="I198" s="453">
        <v>7</v>
      </c>
      <c r="J198" s="580">
        <v>90</v>
      </c>
      <c r="K198" s="580">
        <v>-0.8</v>
      </c>
      <c r="L198" s="577" t="s">
        <v>291</v>
      </c>
      <c r="M198" s="576" t="s">
        <v>291</v>
      </c>
      <c r="N198" s="782">
        <f t="shared" si="52"/>
        <v>0</v>
      </c>
      <c r="P198" s="453">
        <v>7</v>
      </c>
      <c r="Q198" s="580">
        <v>1020</v>
      </c>
      <c r="R198" s="577">
        <v>9.9999999999999995E-7</v>
      </c>
      <c r="S198" s="577" t="s">
        <v>291</v>
      </c>
      <c r="T198" s="576" t="s">
        <v>291</v>
      </c>
      <c r="U198" s="782">
        <f t="shared" si="53"/>
        <v>0</v>
      </c>
    </row>
    <row r="199" spans="1:24" ht="13.5" thickBot="1" x14ac:dyDescent="0.25">
      <c r="A199" s="720"/>
      <c r="C199" s="438"/>
      <c r="D199" s="438"/>
      <c r="E199" s="581"/>
      <c r="F199" s="438"/>
      <c r="I199" s="438"/>
      <c r="J199" s="438"/>
      <c r="K199" s="581"/>
      <c r="L199" s="438"/>
      <c r="O199" s="438"/>
      <c r="P199" s="581"/>
      <c r="Q199" s="581"/>
      <c r="R199" s="438"/>
    </row>
    <row r="200" spans="1:24" x14ac:dyDescent="0.2">
      <c r="A200" s="1345">
        <v>19</v>
      </c>
      <c r="B200" s="1344" t="s">
        <v>309</v>
      </c>
      <c r="C200" s="1344"/>
      <c r="D200" s="1344"/>
      <c r="E200" s="1344"/>
      <c r="F200" s="1344"/>
      <c r="G200" s="1344"/>
      <c r="I200" s="1344" t="str">
        <f>B200</f>
        <v>KOREKSI EXTECH A.100615</v>
      </c>
      <c r="J200" s="1344"/>
      <c r="K200" s="1344"/>
      <c r="L200" s="1344"/>
      <c r="M200" s="1344"/>
      <c r="N200" s="1344"/>
      <c r="P200" s="1344" t="str">
        <f>I200</f>
        <v>KOREKSI EXTECH A.100615</v>
      </c>
      <c r="Q200" s="1344"/>
      <c r="R200" s="1344"/>
      <c r="S200" s="1344"/>
      <c r="T200" s="1344"/>
      <c r="U200" s="1344"/>
      <c r="W200" s="1338" t="s">
        <v>284</v>
      </c>
      <c r="X200" s="1339"/>
    </row>
    <row r="201" spans="1:24" x14ac:dyDescent="0.2">
      <c r="A201" s="1345"/>
      <c r="B201" s="1340" t="s">
        <v>285</v>
      </c>
      <c r="C201" s="1340"/>
      <c r="D201" s="1340" t="s">
        <v>286</v>
      </c>
      <c r="E201" s="1340"/>
      <c r="F201" s="1340"/>
      <c r="G201" s="1340" t="s">
        <v>287</v>
      </c>
      <c r="I201" s="1340" t="s">
        <v>288</v>
      </c>
      <c r="J201" s="1340"/>
      <c r="K201" s="1340" t="s">
        <v>286</v>
      </c>
      <c r="L201" s="1340"/>
      <c r="M201" s="1340"/>
      <c r="N201" s="1340" t="s">
        <v>287</v>
      </c>
      <c r="P201" s="1340" t="s">
        <v>289</v>
      </c>
      <c r="Q201" s="1340"/>
      <c r="R201" s="1340" t="s">
        <v>286</v>
      </c>
      <c r="S201" s="1340"/>
      <c r="T201" s="1340"/>
      <c r="U201" s="1340" t="s">
        <v>287</v>
      </c>
      <c r="W201" s="711" t="s">
        <v>285</v>
      </c>
      <c r="X201" s="712">
        <v>0.1</v>
      </c>
    </row>
    <row r="202" spans="1:24" ht="15" x14ac:dyDescent="0.2">
      <c r="A202" s="1345"/>
      <c r="B202" s="1341" t="s">
        <v>532</v>
      </c>
      <c r="C202" s="1341"/>
      <c r="D202" s="887">
        <v>2021</v>
      </c>
      <c r="E202" s="888" t="s">
        <v>291</v>
      </c>
      <c r="F202" s="888" t="s">
        <v>291</v>
      </c>
      <c r="G202" s="1340"/>
      <c r="I202" s="1342" t="s">
        <v>22</v>
      </c>
      <c r="J202" s="1341"/>
      <c r="K202" s="887">
        <f>D202</f>
        <v>2021</v>
      </c>
      <c r="L202" s="887" t="str">
        <f>E202</f>
        <v>-</v>
      </c>
      <c r="M202" s="887" t="str">
        <f>F202</f>
        <v>-</v>
      </c>
      <c r="N202" s="1340"/>
      <c r="P202" s="1342" t="s">
        <v>290</v>
      </c>
      <c r="Q202" s="1341"/>
      <c r="R202" s="887">
        <f>K202</f>
        <v>2021</v>
      </c>
      <c r="S202" s="887" t="str">
        <f>L202</f>
        <v>-</v>
      </c>
      <c r="T202" s="887" t="str">
        <f>M202</f>
        <v>-</v>
      </c>
      <c r="U202" s="1340"/>
      <c r="W202" s="711" t="s">
        <v>22</v>
      </c>
      <c r="X202" s="712">
        <v>1.5</v>
      </c>
    </row>
    <row r="203" spans="1:24" ht="13.5" thickBot="1" x14ac:dyDescent="0.25">
      <c r="A203" s="1345"/>
      <c r="B203" s="453">
        <v>1</v>
      </c>
      <c r="C203" s="575">
        <v>15</v>
      </c>
      <c r="D203" s="575">
        <v>9.9999999999999995E-7</v>
      </c>
      <c r="E203" s="575" t="s">
        <v>291</v>
      </c>
      <c r="F203" s="576" t="s">
        <v>291</v>
      </c>
      <c r="G203" s="782">
        <f>0.5*(MAX(D203:F203)-MIN(D203:F203))</f>
        <v>0</v>
      </c>
      <c r="I203" s="453">
        <v>1</v>
      </c>
      <c r="J203" s="575">
        <v>30</v>
      </c>
      <c r="K203" s="575">
        <v>-1.5</v>
      </c>
      <c r="L203" s="575" t="s">
        <v>291</v>
      </c>
      <c r="M203" s="576" t="s">
        <v>291</v>
      </c>
      <c r="N203" s="782">
        <f>0.5*(MAX(K203:M203)-MIN(K203:M203))</f>
        <v>0</v>
      </c>
      <c r="P203" s="453">
        <v>1</v>
      </c>
      <c r="Q203" s="575">
        <v>750</v>
      </c>
      <c r="R203" s="576">
        <v>2.5</v>
      </c>
      <c r="S203" s="575" t="s">
        <v>291</v>
      </c>
      <c r="T203" s="576" t="s">
        <v>291</v>
      </c>
      <c r="U203" s="782">
        <f>0.5*(MAX(R203:T203)-MIN(R203:T203))</f>
        <v>0</v>
      </c>
      <c r="W203" s="713" t="s">
        <v>290</v>
      </c>
      <c r="X203" s="714">
        <v>0.4</v>
      </c>
    </row>
    <row r="204" spans="1:24" x14ac:dyDescent="0.2">
      <c r="A204" s="1345"/>
      <c r="B204" s="453">
        <v>2</v>
      </c>
      <c r="C204" s="575">
        <v>20</v>
      </c>
      <c r="D204" s="575">
        <v>0.1</v>
      </c>
      <c r="E204" s="575" t="s">
        <v>291</v>
      </c>
      <c r="F204" s="576" t="s">
        <v>291</v>
      </c>
      <c r="G204" s="782">
        <f t="shared" ref="G204:G209" si="54">0.5*(MAX(D204:F204)-MIN(D204:F204))</f>
        <v>0</v>
      </c>
      <c r="I204" s="453">
        <v>2</v>
      </c>
      <c r="J204" s="575">
        <v>40</v>
      </c>
      <c r="K204" s="575">
        <v>-0.8</v>
      </c>
      <c r="L204" s="575" t="s">
        <v>291</v>
      </c>
      <c r="M204" s="576" t="s">
        <v>291</v>
      </c>
      <c r="N204" s="782">
        <f t="shared" ref="N204:N209" si="55">0.5*(MAX(K204:M204)-MIN(K204:M204))</f>
        <v>0</v>
      </c>
      <c r="P204" s="453">
        <v>2</v>
      </c>
      <c r="Q204" s="575">
        <v>800</v>
      </c>
      <c r="R204" s="576">
        <v>2.5</v>
      </c>
      <c r="S204" s="575" t="s">
        <v>291</v>
      </c>
      <c r="T204" s="576" t="s">
        <v>291</v>
      </c>
      <c r="U204" s="782">
        <f t="shared" ref="U204:U209" si="56">0.5*(MAX(R204:T204)-MIN(R204:T204))</f>
        <v>0</v>
      </c>
    </row>
    <row r="205" spans="1:24" x14ac:dyDescent="0.2">
      <c r="A205" s="1345"/>
      <c r="B205" s="453">
        <v>3</v>
      </c>
      <c r="C205" s="575">
        <v>25</v>
      </c>
      <c r="D205" s="575">
        <v>9.9999999999999995E-7</v>
      </c>
      <c r="E205" s="575" t="s">
        <v>291</v>
      </c>
      <c r="F205" s="576" t="s">
        <v>291</v>
      </c>
      <c r="G205" s="782">
        <f t="shared" si="54"/>
        <v>0</v>
      </c>
      <c r="I205" s="453">
        <v>3</v>
      </c>
      <c r="J205" s="575">
        <v>50</v>
      </c>
      <c r="K205" s="575">
        <v>-0.2</v>
      </c>
      <c r="L205" s="575" t="s">
        <v>291</v>
      </c>
      <c r="M205" s="576" t="s">
        <v>291</v>
      </c>
      <c r="N205" s="782">
        <f t="shared" si="55"/>
        <v>0</v>
      </c>
      <c r="P205" s="453">
        <v>3</v>
      </c>
      <c r="Q205" s="575">
        <v>850</v>
      </c>
      <c r="R205" s="576">
        <v>2.4</v>
      </c>
      <c r="S205" s="575" t="s">
        <v>291</v>
      </c>
      <c r="T205" s="576" t="s">
        <v>291</v>
      </c>
      <c r="U205" s="782">
        <f t="shared" si="56"/>
        <v>0</v>
      </c>
    </row>
    <row r="206" spans="1:24" x14ac:dyDescent="0.2">
      <c r="A206" s="1345"/>
      <c r="B206" s="453">
        <v>4</v>
      </c>
      <c r="C206" s="580">
        <v>30</v>
      </c>
      <c r="D206" s="580">
        <v>-0.1</v>
      </c>
      <c r="E206" s="577" t="s">
        <v>291</v>
      </c>
      <c r="F206" s="576" t="s">
        <v>291</v>
      </c>
      <c r="G206" s="782">
        <f t="shared" si="54"/>
        <v>0</v>
      </c>
      <c r="I206" s="453">
        <v>4</v>
      </c>
      <c r="J206" s="580">
        <v>60</v>
      </c>
      <c r="K206" s="580">
        <v>0.4</v>
      </c>
      <c r="L206" s="577" t="s">
        <v>291</v>
      </c>
      <c r="M206" s="576" t="s">
        <v>291</v>
      </c>
      <c r="N206" s="782">
        <f t="shared" si="55"/>
        <v>0</v>
      </c>
      <c r="P206" s="453">
        <v>4</v>
      </c>
      <c r="Q206" s="580">
        <v>900</v>
      </c>
      <c r="R206" s="577">
        <v>2.2999999999999998</v>
      </c>
      <c r="S206" s="577" t="s">
        <v>291</v>
      </c>
      <c r="T206" s="576" t="s">
        <v>291</v>
      </c>
      <c r="U206" s="782">
        <f t="shared" si="56"/>
        <v>0</v>
      </c>
    </row>
    <row r="207" spans="1:24" x14ac:dyDescent="0.2">
      <c r="A207" s="1345"/>
      <c r="B207" s="453">
        <v>5</v>
      </c>
      <c r="C207" s="580">
        <v>35</v>
      </c>
      <c r="D207" s="580">
        <v>-0.1</v>
      </c>
      <c r="E207" s="577" t="s">
        <v>291</v>
      </c>
      <c r="F207" s="576" t="s">
        <v>291</v>
      </c>
      <c r="G207" s="782">
        <f t="shared" si="54"/>
        <v>0</v>
      </c>
      <c r="I207" s="453">
        <v>5</v>
      </c>
      <c r="J207" s="580">
        <v>70</v>
      </c>
      <c r="K207" s="580">
        <v>-0.7</v>
      </c>
      <c r="L207" s="577" t="s">
        <v>291</v>
      </c>
      <c r="M207" s="576" t="s">
        <v>291</v>
      </c>
      <c r="N207" s="782">
        <f t="shared" si="55"/>
        <v>0</v>
      </c>
      <c r="P207" s="453">
        <v>5</v>
      </c>
      <c r="Q207" s="580">
        <v>1000</v>
      </c>
      <c r="R207" s="577">
        <v>2.2000000000000002</v>
      </c>
      <c r="S207" s="577" t="s">
        <v>291</v>
      </c>
      <c r="T207" s="576" t="s">
        <v>291</v>
      </c>
      <c r="U207" s="782">
        <f t="shared" si="56"/>
        <v>0</v>
      </c>
    </row>
    <row r="208" spans="1:24" x14ac:dyDescent="0.2">
      <c r="A208" s="1345"/>
      <c r="B208" s="453">
        <v>6</v>
      </c>
      <c r="C208" s="580">
        <v>37</v>
      </c>
      <c r="D208" s="580">
        <v>9.9999999999999995E-7</v>
      </c>
      <c r="E208" s="577" t="s">
        <v>291</v>
      </c>
      <c r="F208" s="576" t="s">
        <v>291</v>
      </c>
      <c r="G208" s="782">
        <f t="shared" si="54"/>
        <v>0</v>
      </c>
      <c r="I208" s="453">
        <v>6</v>
      </c>
      <c r="J208" s="580">
        <v>80</v>
      </c>
      <c r="K208" s="580">
        <v>-0.9</v>
      </c>
      <c r="L208" s="577" t="s">
        <v>291</v>
      </c>
      <c r="M208" s="576" t="s">
        <v>291</v>
      </c>
      <c r="N208" s="782">
        <f t="shared" si="55"/>
        <v>0</v>
      </c>
      <c r="P208" s="453">
        <v>6</v>
      </c>
      <c r="Q208" s="580">
        <v>1005</v>
      </c>
      <c r="R208" s="577">
        <v>2.2000000000000002</v>
      </c>
      <c r="S208" s="577" t="s">
        <v>291</v>
      </c>
      <c r="T208" s="576" t="s">
        <v>291</v>
      </c>
      <c r="U208" s="782">
        <f t="shared" si="56"/>
        <v>0</v>
      </c>
    </row>
    <row r="209" spans="1:31" x14ac:dyDescent="0.2">
      <c r="A209" s="1345"/>
      <c r="B209" s="453">
        <v>7</v>
      </c>
      <c r="C209" s="580">
        <v>40</v>
      </c>
      <c r="D209" s="580">
        <v>0.2</v>
      </c>
      <c r="E209" s="577" t="s">
        <v>291</v>
      </c>
      <c r="F209" s="576" t="s">
        <v>291</v>
      </c>
      <c r="G209" s="782">
        <f t="shared" si="54"/>
        <v>0</v>
      </c>
      <c r="I209" s="453">
        <v>7</v>
      </c>
      <c r="J209" s="580">
        <v>90</v>
      </c>
      <c r="K209" s="580">
        <v>-0.6</v>
      </c>
      <c r="L209" s="577" t="s">
        <v>291</v>
      </c>
      <c r="M209" s="576" t="s">
        <v>291</v>
      </c>
      <c r="N209" s="782">
        <f t="shared" si="55"/>
        <v>0</v>
      </c>
      <c r="P209" s="453">
        <v>7</v>
      </c>
      <c r="Q209" s="580">
        <v>1020</v>
      </c>
      <c r="R209" s="577">
        <v>2.2999999999999998</v>
      </c>
      <c r="S209" s="577" t="s">
        <v>291</v>
      </c>
      <c r="T209" s="576" t="s">
        <v>291</v>
      </c>
      <c r="U209" s="782">
        <f t="shared" si="56"/>
        <v>0</v>
      </c>
    </row>
    <row r="210" spans="1:31" ht="13.5" thickBot="1" x14ac:dyDescent="0.25">
      <c r="A210" s="720"/>
      <c r="C210" s="438"/>
      <c r="D210" s="438"/>
      <c r="E210" s="581"/>
      <c r="F210" s="438"/>
      <c r="J210" s="438"/>
      <c r="K210" s="438"/>
      <c r="L210" s="581"/>
      <c r="M210" s="438"/>
      <c r="Q210" s="438"/>
      <c r="R210" s="581"/>
      <c r="S210" s="581"/>
      <c r="T210" s="438"/>
    </row>
    <row r="211" spans="1:31" x14ac:dyDescent="0.2">
      <c r="A211" s="1345">
        <v>20</v>
      </c>
      <c r="B211" s="1343">
        <v>20</v>
      </c>
      <c r="C211" s="1343"/>
      <c r="D211" s="1343"/>
      <c r="E211" s="1343"/>
      <c r="F211" s="1343"/>
      <c r="G211" s="1343"/>
      <c r="H211" s="721"/>
      <c r="I211" s="1343">
        <f>B211</f>
        <v>20</v>
      </c>
      <c r="J211" s="1343"/>
      <c r="K211" s="1343"/>
      <c r="L211" s="1343"/>
      <c r="M211" s="1343"/>
      <c r="N211" s="1343"/>
      <c r="O211" s="721"/>
      <c r="P211" s="1343">
        <f>I211</f>
        <v>20</v>
      </c>
      <c r="Q211" s="1343"/>
      <c r="R211" s="1343"/>
      <c r="S211" s="1343"/>
      <c r="T211" s="1343"/>
      <c r="U211" s="1343"/>
      <c r="W211" s="1338" t="s">
        <v>284</v>
      </c>
      <c r="X211" s="1339"/>
    </row>
    <row r="212" spans="1:31" x14ac:dyDescent="0.2">
      <c r="A212" s="1345"/>
      <c r="B212" s="1340" t="s">
        <v>285</v>
      </c>
      <c r="C212" s="1340"/>
      <c r="D212" s="1340" t="s">
        <v>286</v>
      </c>
      <c r="E212" s="1340"/>
      <c r="F212" s="1340"/>
      <c r="G212" s="1340" t="s">
        <v>287</v>
      </c>
      <c r="I212" s="1340" t="s">
        <v>288</v>
      </c>
      <c r="J212" s="1340"/>
      <c r="K212" s="1340" t="s">
        <v>286</v>
      </c>
      <c r="L212" s="1340"/>
      <c r="M212" s="1340"/>
      <c r="N212" s="1340" t="s">
        <v>287</v>
      </c>
      <c r="P212" s="1340" t="s">
        <v>289</v>
      </c>
      <c r="Q212" s="1340"/>
      <c r="R212" s="1340" t="s">
        <v>286</v>
      </c>
      <c r="S212" s="1340"/>
      <c r="T212" s="1340"/>
      <c r="U212" s="1340" t="s">
        <v>287</v>
      </c>
      <c r="W212" s="711" t="s">
        <v>285</v>
      </c>
      <c r="X212" s="712">
        <v>0</v>
      </c>
    </row>
    <row r="213" spans="1:31" ht="15" x14ac:dyDescent="0.2">
      <c r="A213" s="1345"/>
      <c r="B213" s="1341" t="s">
        <v>532</v>
      </c>
      <c r="C213" s="1341"/>
      <c r="D213" s="887">
        <v>2017</v>
      </c>
      <c r="E213" s="888" t="s">
        <v>291</v>
      </c>
      <c r="F213" s="888" t="s">
        <v>291</v>
      </c>
      <c r="G213" s="1340"/>
      <c r="I213" s="1342" t="s">
        <v>22</v>
      </c>
      <c r="J213" s="1341"/>
      <c r="K213" s="887">
        <f>D213</f>
        <v>2017</v>
      </c>
      <c r="L213" s="887" t="str">
        <f>E213</f>
        <v>-</v>
      </c>
      <c r="M213" s="887" t="str">
        <f>F213</f>
        <v>-</v>
      </c>
      <c r="N213" s="1340"/>
      <c r="P213" s="1342" t="s">
        <v>290</v>
      </c>
      <c r="Q213" s="1341"/>
      <c r="R213" s="887">
        <f>K213</f>
        <v>2017</v>
      </c>
      <c r="S213" s="887" t="str">
        <f>L213</f>
        <v>-</v>
      </c>
      <c r="T213" s="887" t="str">
        <f>M213</f>
        <v>-</v>
      </c>
      <c r="U213" s="1340"/>
      <c r="W213" s="711" t="s">
        <v>22</v>
      </c>
      <c r="X213" s="712">
        <v>0</v>
      </c>
    </row>
    <row r="214" spans="1:31" ht="13.5" thickBot="1" x14ac:dyDescent="0.25">
      <c r="A214" s="1345"/>
      <c r="B214" s="453">
        <v>1</v>
      </c>
      <c r="C214" s="575">
        <v>14.8</v>
      </c>
      <c r="D214" s="575">
        <v>9.9999999999999995E-7</v>
      </c>
      <c r="E214" s="575" t="s">
        <v>291</v>
      </c>
      <c r="F214" s="576" t="s">
        <v>291</v>
      </c>
      <c r="G214" s="782">
        <f>0.5*(MAX(D214:F214)-MIN(D214:F214))</f>
        <v>0</v>
      </c>
      <c r="I214" s="453">
        <v>1</v>
      </c>
      <c r="J214" s="575">
        <v>45.7</v>
      </c>
      <c r="K214" s="575">
        <v>9.9999999999999995E-7</v>
      </c>
      <c r="L214" s="575" t="s">
        <v>291</v>
      </c>
      <c r="M214" s="576" t="s">
        <v>291</v>
      </c>
      <c r="N214" s="782">
        <f>0.5*(MAX(K214:M214)-MIN(K214:M214))</f>
        <v>0</v>
      </c>
      <c r="P214" s="453">
        <v>1</v>
      </c>
      <c r="Q214" s="575">
        <v>750</v>
      </c>
      <c r="R214" s="576">
        <v>9.9999999999999995E-7</v>
      </c>
      <c r="S214" s="575" t="s">
        <v>291</v>
      </c>
      <c r="T214" s="576" t="s">
        <v>291</v>
      </c>
      <c r="U214" s="782">
        <f>0.5*(MAX(R214:T214)-MIN(R214:T214))</f>
        <v>0</v>
      </c>
      <c r="W214" s="713" t="s">
        <v>290</v>
      </c>
      <c r="X214" s="714">
        <v>0</v>
      </c>
    </row>
    <row r="215" spans="1:31" x14ac:dyDescent="0.2">
      <c r="A215" s="1345"/>
      <c r="B215" s="453">
        <v>2</v>
      </c>
      <c r="C215" s="575">
        <v>19.7</v>
      </c>
      <c r="D215" s="575">
        <v>9.9999999999999995E-7</v>
      </c>
      <c r="E215" s="575" t="s">
        <v>291</v>
      </c>
      <c r="F215" s="576" t="s">
        <v>291</v>
      </c>
      <c r="G215" s="782">
        <f t="shared" ref="G215:G220" si="57">0.5*(MAX(D215:F215)-MIN(D215:F215))</f>
        <v>0</v>
      </c>
      <c r="I215" s="453">
        <v>2</v>
      </c>
      <c r="J215" s="575">
        <v>54.3</v>
      </c>
      <c r="K215" s="575">
        <v>9.9999999999999995E-7</v>
      </c>
      <c r="L215" s="575" t="s">
        <v>291</v>
      </c>
      <c r="M215" s="576" t="s">
        <v>291</v>
      </c>
      <c r="N215" s="782">
        <f t="shared" ref="N215:N220" si="58">0.5*(MAX(K215:M215)-MIN(K215:M215))</f>
        <v>0</v>
      </c>
      <c r="P215" s="453">
        <v>2</v>
      </c>
      <c r="Q215" s="575">
        <v>800</v>
      </c>
      <c r="R215" s="576">
        <v>9.9999999999999995E-7</v>
      </c>
      <c r="S215" s="575" t="s">
        <v>291</v>
      </c>
      <c r="T215" s="576" t="s">
        <v>291</v>
      </c>
      <c r="U215" s="782">
        <f t="shared" ref="U215:U220" si="59">0.5*(MAX(R215:T215)-MIN(R215:T215))</f>
        <v>0</v>
      </c>
    </row>
    <row r="216" spans="1:31" x14ac:dyDescent="0.2">
      <c r="A216" s="1345"/>
      <c r="B216" s="453">
        <v>3</v>
      </c>
      <c r="C216" s="575">
        <v>24.6</v>
      </c>
      <c r="D216" s="575">
        <v>9.9999999999999995E-7</v>
      </c>
      <c r="E216" s="575" t="s">
        <v>291</v>
      </c>
      <c r="F216" s="576" t="s">
        <v>291</v>
      </c>
      <c r="G216" s="782">
        <f t="shared" si="57"/>
        <v>0</v>
      </c>
      <c r="I216" s="453">
        <v>3</v>
      </c>
      <c r="J216" s="575">
        <v>62.5</v>
      </c>
      <c r="K216" s="575">
        <v>9.9999999999999995E-7</v>
      </c>
      <c r="L216" s="575" t="s">
        <v>291</v>
      </c>
      <c r="M216" s="576" t="s">
        <v>291</v>
      </c>
      <c r="N216" s="782">
        <f t="shared" si="58"/>
        <v>0</v>
      </c>
      <c r="P216" s="453">
        <v>3</v>
      </c>
      <c r="Q216" s="575">
        <v>850</v>
      </c>
      <c r="R216" s="576">
        <v>9.9999999999999995E-7</v>
      </c>
      <c r="S216" s="575" t="s">
        <v>291</v>
      </c>
      <c r="T216" s="576" t="s">
        <v>291</v>
      </c>
      <c r="U216" s="782">
        <f t="shared" si="59"/>
        <v>0</v>
      </c>
    </row>
    <row r="217" spans="1:31" x14ac:dyDescent="0.2">
      <c r="A217" s="1345"/>
      <c r="B217" s="453">
        <v>4</v>
      </c>
      <c r="C217" s="580">
        <v>29.5</v>
      </c>
      <c r="D217" s="575">
        <v>9.9999999999999995E-7</v>
      </c>
      <c r="E217" s="577" t="s">
        <v>291</v>
      </c>
      <c r="F217" s="576" t="s">
        <v>291</v>
      </c>
      <c r="G217" s="782">
        <f t="shared" si="57"/>
        <v>0</v>
      </c>
      <c r="I217" s="453">
        <v>4</v>
      </c>
      <c r="J217" s="580">
        <v>71.5</v>
      </c>
      <c r="K217" s="575">
        <v>9.9999999999999995E-7</v>
      </c>
      <c r="L217" s="577" t="s">
        <v>291</v>
      </c>
      <c r="M217" s="576" t="s">
        <v>291</v>
      </c>
      <c r="N217" s="782">
        <f t="shared" si="58"/>
        <v>0</v>
      </c>
      <c r="P217" s="453">
        <v>4</v>
      </c>
      <c r="Q217" s="580">
        <v>900</v>
      </c>
      <c r="R217" s="576">
        <v>9.9999999999999995E-7</v>
      </c>
      <c r="S217" s="577" t="s">
        <v>291</v>
      </c>
      <c r="T217" s="576" t="s">
        <v>291</v>
      </c>
      <c r="U217" s="782">
        <f t="shared" si="59"/>
        <v>0</v>
      </c>
    </row>
    <row r="218" spans="1:31" x14ac:dyDescent="0.2">
      <c r="A218" s="1345"/>
      <c r="B218" s="453">
        <v>5</v>
      </c>
      <c r="C218" s="580">
        <v>34.5</v>
      </c>
      <c r="D218" s="575">
        <v>9.9999999999999995E-7</v>
      </c>
      <c r="E218" s="577" t="s">
        <v>291</v>
      </c>
      <c r="F218" s="576" t="s">
        <v>291</v>
      </c>
      <c r="G218" s="782">
        <f t="shared" si="57"/>
        <v>0</v>
      </c>
      <c r="I218" s="453">
        <v>5</v>
      </c>
      <c r="J218" s="580">
        <v>80.8</v>
      </c>
      <c r="K218" s="575">
        <v>9.9999999999999995E-7</v>
      </c>
      <c r="L218" s="577" t="s">
        <v>291</v>
      </c>
      <c r="M218" s="576" t="s">
        <v>291</v>
      </c>
      <c r="N218" s="782">
        <f t="shared" si="58"/>
        <v>0</v>
      </c>
      <c r="P218" s="453">
        <v>5</v>
      </c>
      <c r="Q218" s="580">
        <v>1000</v>
      </c>
      <c r="R218" s="576">
        <v>9.9999999999999995E-7</v>
      </c>
      <c r="S218" s="577" t="s">
        <v>291</v>
      </c>
      <c r="T218" s="576" t="s">
        <v>291</v>
      </c>
      <c r="U218" s="782">
        <f t="shared" si="59"/>
        <v>0</v>
      </c>
    </row>
    <row r="219" spans="1:31" x14ac:dyDescent="0.2">
      <c r="A219" s="1345"/>
      <c r="B219" s="453">
        <v>6</v>
      </c>
      <c r="C219" s="580">
        <v>39.5</v>
      </c>
      <c r="D219" s="575">
        <v>9.9999999999999995E-7</v>
      </c>
      <c r="E219" s="577" t="s">
        <v>291</v>
      </c>
      <c r="F219" s="576" t="s">
        <v>291</v>
      </c>
      <c r="G219" s="782">
        <f t="shared" si="57"/>
        <v>0</v>
      </c>
      <c r="I219" s="453">
        <v>6</v>
      </c>
      <c r="J219" s="580">
        <v>88.7</v>
      </c>
      <c r="K219" s="575">
        <v>9.9999999999999995E-7</v>
      </c>
      <c r="L219" s="577" t="s">
        <v>291</v>
      </c>
      <c r="M219" s="576" t="s">
        <v>291</v>
      </c>
      <c r="N219" s="782">
        <f t="shared" si="58"/>
        <v>0</v>
      </c>
      <c r="P219" s="453">
        <v>6</v>
      </c>
      <c r="Q219" s="580">
        <v>1005</v>
      </c>
      <c r="R219" s="576">
        <v>9.9999999999999995E-7</v>
      </c>
      <c r="S219" s="577" t="s">
        <v>291</v>
      </c>
      <c r="T219" s="576" t="s">
        <v>291</v>
      </c>
      <c r="U219" s="782">
        <f t="shared" si="59"/>
        <v>0</v>
      </c>
    </row>
    <row r="220" spans="1:31" x14ac:dyDescent="0.2">
      <c r="A220" s="1345"/>
      <c r="B220" s="453">
        <v>7</v>
      </c>
      <c r="C220" s="580">
        <v>40</v>
      </c>
      <c r="D220" s="575">
        <v>9.9999999999999995E-7</v>
      </c>
      <c r="E220" s="577" t="s">
        <v>291</v>
      </c>
      <c r="F220" s="576" t="s">
        <v>291</v>
      </c>
      <c r="G220" s="782">
        <f t="shared" si="57"/>
        <v>0</v>
      </c>
      <c r="I220" s="453">
        <v>7</v>
      </c>
      <c r="J220" s="580">
        <v>90</v>
      </c>
      <c r="K220" s="575">
        <v>9.9999999999999995E-7</v>
      </c>
      <c r="L220" s="577" t="s">
        <v>291</v>
      </c>
      <c r="M220" s="576" t="s">
        <v>291</v>
      </c>
      <c r="N220" s="782">
        <f t="shared" si="58"/>
        <v>0</v>
      </c>
      <c r="P220" s="453">
        <v>7</v>
      </c>
      <c r="Q220" s="580">
        <v>1020</v>
      </c>
      <c r="R220" s="576">
        <v>9.9999999999999995E-7</v>
      </c>
      <c r="S220" s="577" t="s">
        <v>291</v>
      </c>
      <c r="T220" s="576" t="s">
        <v>291</v>
      </c>
      <c r="U220" s="782">
        <f t="shared" si="59"/>
        <v>0</v>
      </c>
    </row>
    <row r="221" spans="1:31" ht="13.5" thickBot="1" x14ac:dyDescent="0.25">
      <c r="A221" s="582"/>
      <c r="B221" s="1351"/>
      <c r="C221" s="1351"/>
      <c r="D221" s="1351"/>
      <c r="E221" s="1351"/>
      <c r="F221" s="1351"/>
      <c r="G221" s="1351"/>
      <c r="H221" s="1351"/>
      <c r="I221" s="1351"/>
      <c r="J221" s="1351"/>
      <c r="K221" s="1351"/>
      <c r="L221" s="1351"/>
      <c r="M221" s="1351"/>
      <c r="N221" s="1351"/>
      <c r="O221" s="1351"/>
      <c r="P221" s="1351"/>
      <c r="Q221" s="1351"/>
      <c r="R221" s="1351"/>
      <c r="S221" s="1351"/>
      <c r="T221" s="1351"/>
      <c r="U221" s="1351"/>
    </row>
    <row r="222" spans="1:31" ht="13.5" hidden="1" thickBot="1" x14ac:dyDescent="0.25">
      <c r="A222" s="529"/>
      <c r="B222" s="529"/>
      <c r="C222" s="529"/>
      <c r="D222" s="529"/>
      <c r="E222" s="529"/>
      <c r="F222" s="529"/>
      <c r="G222" s="529"/>
      <c r="H222" s="529"/>
      <c r="I222" s="529"/>
      <c r="J222" s="529"/>
      <c r="K222" s="529"/>
      <c r="L222" s="529"/>
      <c r="M222" s="529"/>
      <c r="N222" s="529"/>
      <c r="O222" s="529"/>
      <c r="P222" s="529"/>
    </row>
    <row r="223" spans="1:31" ht="12.75" hidden="1" customHeight="1" x14ac:dyDescent="0.2">
      <c r="A223" s="1322" t="s">
        <v>47</v>
      </c>
      <c r="B223" s="1352" t="s">
        <v>310</v>
      </c>
      <c r="C223" s="1344" t="s">
        <v>311</v>
      </c>
      <c r="D223" s="1344"/>
      <c r="E223" s="1344"/>
      <c r="F223" s="1344"/>
      <c r="G223" s="722"/>
      <c r="I223" s="1322" t="s">
        <v>47</v>
      </c>
      <c r="J223" s="1352" t="s">
        <v>310</v>
      </c>
      <c r="K223" s="1344" t="s">
        <v>311</v>
      </c>
      <c r="L223" s="1344"/>
      <c r="M223" s="1344"/>
      <c r="N223" s="1344"/>
      <c r="O223" s="570"/>
      <c r="Q223" s="1323" t="s">
        <v>47</v>
      </c>
      <c r="R223" s="1353" t="s">
        <v>310</v>
      </c>
      <c r="S223" s="1354" t="s">
        <v>311</v>
      </c>
      <c r="T223" s="1354"/>
      <c r="U223" s="1354"/>
      <c r="V223" s="1355"/>
      <c r="Y223" s="1328" t="s">
        <v>284</v>
      </c>
      <c r="Z223" s="1329"/>
      <c r="AE223" s="723"/>
    </row>
    <row r="224" spans="1:31" hidden="1" x14ac:dyDescent="0.2">
      <c r="A224" s="1322"/>
      <c r="B224" s="1352"/>
      <c r="C224" s="724" t="s">
        <v>285</v>
      </c>
      <c r="D224" s="1332" t="s">
        <v>286</v>
      </c>
      <c r="E224" s="1332"/>
      <c r="F224" s="1332"/>
      <c r="G224" s="1332" t="s">
        <v>287</v>
      </c>
      <c r="I224" s="1322"/>
      <c r="J224" s="1352"/>
      <c r="K224" s="724" t="s">
        <v>288</v>
      </c>
      <c r="L224" s="1332" t="s">
        <v>286</v>
      </c>
      <c r="M224" s="1332"/>
      <c r="N224" s="1332"/>
      <c r="O224" s="1332" t="s">
        <v>287</v>
      </c>
      <c r="Q224" s="1322"/>
      <c r="R224" s="1352"/>
      <c r="S224" s="724" t="s">
        <v>289</v>
      </c>
      <c r="T224" s="1334" t="s">
        <v>286</v>
      </c>
      <c r="U224" s="1335"/>
      <c r="V224" s="1336"/>
      <c r="W224" s="1333" t="s">
        <v>287</v>
      </c>
      <c r="Y224" s="1330" t="s">
        <v>285</v>
      </c>
      <c r="Z224" s="1331"/>
      <c r="AE224" s="529"/>
    </row>
    <row r="225" spans="1:38" ht="15" hidden="1" x14ac:dyDescent="0.2">
      <c r="A225" s="1322"/>
      <c r="B225" s="1352"/>
      <c r="C225" s="725" t="s">
        <v>533</v>
      </c>
      <c r="D225" s="724"/>
      <c r="E225" s="724"/>
      <c r="F225" s="570"/>
      <c r="G225" s="1332"/>
      <c r="I225" s="1322"/>
      <c r="J225" s="1352"/>
      <c r="K225" s="725" t="s">
        <v>22</v>
      </c>
      <c r="L225" s="724"/>
      <c r="M225" s="724"/>
      <c r="N225" s="570"/>
      <c r="O225" s="1332"/>
      <c r="Q225" s="1322"/>
      <c r="R225" s="1352"/>
      <c r="S225" s="725" t="s">
        <v>290</v>
      </c>
      <c r="T225" s="724"/>
      <c r="U225" s="724"/>
      <c r="W225" s="1333"/>
      <c r="Y225" s="726">
        <v>1</v>
      </c>
      <c r="Z225" s="727">
        <f>X3</f>
        <v>0.6</v>
      </c>
      <c r="AE225" s="529"/>
    </row>
    <row r="226" spans="1:38" hidden="1" x14ac:dyDescent="0.2">
      <c r="A226" s="1322">
        <v>1</v>
      </c>
      <c r="B226" s="706">
        <v>1</v>
      </c>
      <c r="C226" s="706">
        <f>C5</f>
        <v>15</v>
      </c>
      <c r="D226" s="706">
        <f t="shared" ref="D226:E226" si="60">D5</f>
        <v>-0.5</v>
      </c>
      <c r="E226" s="706">
        <f t="shared" si="60"/>
        <v>0.3</v>
      </c>
      <c r="F226" s="706" t="str">
        <f t="shared" ref="F226" si="61">F5</f>
        <v>-</v>
      </c>
      <c r="G226" s="706">
        <f>G5</f>
        <v>0.4</v>
      </c>
      <c r="I226" s="1322">
        <v>1</v>
      </c>
      <c r="J226" s="706">
        <v>1</v>
      </c>
      <c r="K226" s="706">
        <f>J5</f>
        <v>35</v>
      </c>
      <c r="L226" s="706">
        <f>K5</f>
        <v>-6</v>
      </c>
      <c r="M226" s="706">
        <f>L5</f>
        <v>-9.4</v>
      </c>
      <c r="N226" s="706" t="str">
        <f>M5</f>
        <v>-</v>
      </c>
      <c r="O226" s="706">
        <f>N5</f>
        <v>1.7000000000000002</v>
      </c>
      <c r="Q226" s="1337">
        <v>1</v>
      </c>
      <c r="R226" s="706">
        <v>1</v>
      </c>
      <c r="S226" s="706">
        <f>Q5</f>
        <v>750</v>
      </c>
      <c r="T226" s="706" t="str">
        <f>R5</f>
        <v>-</v>
      </c>
      <c r="U226" s="706" t="str">
        <f>S5</f>
        <v>-</v>
      </c>
      <c r="V226" s="706" t="str">
        <f>T5</f>
        <v>-</v>
      </c>
      <c r="W226" s="439">
        <f>U5</f>
        <v>0</v>
      </c>
      <c r="Y226" s="728">
        <v>2</v>
      </c>
      <c r="Z226" s="727">
        <f>X14</f>
        <v>0.8</v>
      </c>
      <c r="AE226" s="529"/>
    </row>
    <row r="227" spans="1:38" hidden="1" x14ac:dyDescent="0.2">
      <c r="A227" s="1322"/>
      <c r="B227" s="706">
        <v>2</v>
      </c>
      <c r="C227" s="706">
        <f>C16</f>
        <v>15</v>
      </c>
      <c r="D227" s="706">
        <f t="shared" ref="D227:E227" si="62">D16</f>
        <v>0.4</v>
      </c>
      <c r="E227" s="706">
        <f t="shared" si="62"/>
        <v>9.9999999999999995E-7</v>
      </c>
      <c r="F227" s="706" t="str">
        <f t="shared" ref="F227" si="63">F16</f>
        <v>-</v>
      </c>
      <c r="G227" s="706">
        <f>G16</f>
        <v>0.19999950000000002</v>
      </c>
      <c r="I227" s="1322"/>
      <c r="J227" s="706">
        <v>2</v>
      </c>
      <c r="K227" s="706">
        <f>J16</f>
        <v>35</v>
      </c>
      <c r="L227" s="706">
        <f>K16</f>
        <v>-6.9</v>
      </c>
      <c r="M227" s="706">
        <f>L16</f>
        <v>-1.6</v>
      </c>
      <c r="N227" s="706" t="str">
        <f>M16</f>
        <v>-</v>
      </c>
      <c r="O227" s="706">
        <f>N16</f>
        <v>2.6500000000000004</v>
      </c>
      <c r="Q227" s="1326"/>
      <c r="R227" s="706">
        <v>2</v>
      </c>
      <c r="S227" s="706">
        <f>Q16</f>
        <v>750</v>
      </c>
      <c r="T227" s="706" t="str">
        <f>R16</f>
        <v>-</v>
      </c>
      <c r="U227" s="706" t="str">
        <f>S16</f>
        <v>-</v>
      </c>
      <c r="V227" s="706" t="str">
        <f>T16</f>
        <v>-</v>
      </c>
      <c r="W227" s="439">
        <f>U16</f>
        <v>0</v>
      </c>
      <c r="Y227" s="728">
        <v>3</v>
      </c>
      <c r="Z227" s="729">
        <f>X25</f>
        <v>0.5</v>
      </c>
      <c r="AE227" s="529"/>
    </row>
    <row r="228" spans="1:38" hidden="1" x14ac:dyDescent="0.2">
      <c r="A228" s="1322"/>
      <c r="B228" s="706">
        <v>3</v>
      </c>
      <c r="C228" s="706">
        <f>C27</f>
        <v>15</v>
      </c>
      <c r="D228" s="706">
        <f t="shared" ref="D228:E228" si="64">D27</f>
        <v>0.4</v>
      </c>
      <c r="E228" s="706">
        <f t="shared" si="64"/>
        <v>9.9999999999999995E-7</v>
      </c>
      <c r="F228" s="706" t="str">
        <f t="shared" ref="F228" si="65">F27</f>
        <v>-</v>
      </c>
      <c r="G228" s="706">
        <f>G27</f>
        <v>0.19999950000000002</v>
      </c>
      <c r="I228" s="1322"/>
      <c r="J228" s="706">
        <v>3</v>
      </c>
      <c r="K228" s="706">
        <f>J27</f>
        <v>30</v>
      </c>
      <c r="L228" s="706">
        <f>K27</f>
        <v>-7.3</v>
      </c>
      <c r="M228" s="706">
        <f>L27</f>
        <v>-5.7</v>
      </c>
      <c r="N228" s="706" t="str">
        <f>M27</f>
        <v>-</v>
      </c>
      <c r="O228" s="706">
        <f>N27</f>
        <v>0.79999999999999982</v>
      </c>
      <c r="Q228" s="1326"/>
      <c r="R228" s="706">
        <v>3</v>
      </c>
      <c r="S228" s="706">
        <f>Q27</f>
        <v>750</v>
      </c>
      <c r="T228" s="706" t="str">
        <f>R27</f>
        <v>-</v>
      </c>
      <c r="U228" s="706" t="str">
        <f>S27</f>
        <v>-</v>
      </c>
      <c r="V228" s="706" t="str">
        <f>T27</f>
        <v>-</v>
      </c>
      <c r="W228" s="439">
        <f>U27</f>
        <v>0</v>
      </c>
      <c r="Y228" s="728">
        <v>4</v>
      </c>
      <c r="Z228" s="729">
        <f>X36</f>
        <v>0.3</v>
      </c>
      <c r="AE228" s="529"/>
    </row>
    <row r="229" spans="1:38" hidden="1" x14ac:dyDescent="0.2">
      <c r="A229" s="1322"/>
      <c r="B229" s="706">
        <v>4</v>
      </c>
      <c r="C229" s="710">
        <f>C38</f>
        <v>15</v>
      </c>
      <c r="D229" s="710">
        <f t="shared" ref="D229:E229" si="66">D38</f>
        <v>-0.2</v>
      </c>
      <c r="E229" s="710">
        <f t="shared" si="66"/>
        <v>-0.1</v>
      </c>
      <c r="F229" s="710" t="str">
        <f t="shared" ref="F229" si="67">F38</f>
        <v>-</v>
      </c>
      <c r="G229" s="710">
        <f>G38</f>
        <v>0.05</v>
      </c>
      <c r="I229" s="1322"/>
      <c r="J229" s="706">
        <v>4</v>
      </c>
      <c r="K229" s="710">
        <f>J38</f>
        <v>35</v>
      </c>
      <c r="L229" s="710">
        <f>K38</f>
        <v>-4.5</v>
      </c>
      <c r="M229" s="710">
        <f>L38</f>
        <v>-1.7</v>
      </c>
      <c r="N229" s="710" t="str">
        <f>M38</f>
        <v>-</v>
      </c>
      <c r="O229" s="710">
        <f>N38</f>
        <v>1.4</v>
      </c>
      <c r="Q229" s="1326"/>
      <c r="R229" s="706">
        <v>4</v>
      </c>
      <c r="S229" s="710">
        <f>Q38</f>
        <v>750</v>
      </c>
      <c r="T229" s="710" t="str">
        <f>R38</f>
        <v>-</v>
      </c>
      <c r="U229" s="710" t="str">
        <f>S38</f>
        <v>-</v>
      </c>
      <c r="V229" s="710" t="str">
        <f>T38</f>
        <v>-</v>
      </c>
      <c r="W229" s="440">
        <f>U38</f>
        <v>0</v>
      </c>
      <c r="Y229" s="728">
        <v>5</v>
      </c>
      <c r="Z229" s="729">
        <f>X47</f>
        <v>0.4</v>
      </c>
      <c r="AE229" s="529"/>
    </row>
    <row r="230" spans="1:38" hidden="1" x14ac:dyDescent="0.2">
      <c r="A230" s="1322"/>
      <c r="B230" s="706">
        <v>5</v>
      </c>
      <c r="C230" s="710">
        <f>C49</f>
        <v>15</v>
      </c>
      <c r="D230" s="710">
        <f t="shared" ref="D230:E230" si="68">D49</f>
        <v>-0.3</v>
      </c>
      <c r="E230" s="710">
        <f t="shared" si="68"/>
        <v>0.3</v>
      </c>
      <c r="F230" s="710" t="str">
        <f t="shared" ref="F230" si="69">F49</f>
        <v>-</v>
      </c>
      <c r="G230" s="710">
        <f>G49</f>
        <v>0.3</v>
      </c>
      <c r="I230" s="1322"/>
      <c r="J230" s="706">
        <v>5</v>
      </c>
      <c r="K230" s="710">
        <f>J49</f>
        <v>35</v>
      </c>
      <c r="L230" s="710">
        <f>K49</f>
        <v>-7.7</v>
      </c>
      <c r="M230" s="710">
        <f>L49</f>
        <v>-9.6</v>
      </c>
      <c r="N230" s="710" t="str">
        <f>M49</f>
        <v>-</v>
      </c>
      <c r="O230" s="710">
        <f>N49</f>
        <v>0.94999999999999973</v>
      </c>
      <c r="Q230" s="1326"/>
      <c r="R230" s="706">
        <v>5</v>
      </c>
      <c r="S230" s="710">
        <f>Q49</f>
        <v>750</v>
      </c>
      <c r="T230" s="710" t="str">
        <f>R49</f>
        <v>-</v>
      </c>
      <c r="U230" s="710" t="str">
        <f>S49</f>
        <v>-</v>
      </c>
      <c r="V230" s="710" t="str">
        <f>T49</f>
        <v>-</v>
      </c>
      <c r="W230" s="440">
        <f>U49</f>
        <v>0</v>
      </c>
      <c r="Y230" s="726">
        <v>6</v>
      </c>
      <c r="Z230" s="727">
        <f>X58</f>
        <v>0.8</v>
      </c>
      <c r="AE230" s="529"/>
    </row>
    <row r="231" spans="1:38" hidden="1" x14ac:dyDescent="0.2">
      <c r="A231" s="1322"/>
      <c r="B231" s="706">
        <v>6</v>
      </c>
      <c r="C231" s="710">
        <f>C60</f>
        <v>15</v>
      </c>
      <c r="D231" s="710">
        <f t="shared" ref="D231:E231" si="70">D60</f>
        <v>0.4</v>
      </c>
      <c r="E231" s="710">
        <f t="shared" si="70"/>
        <v>0.4</v>
      </c>
      <c r="F231" s="710" t="str">
        <f t="shared" ref="F231" si="71">F60</f>
        <v>-</v>
      </c>
      <c r="G231" s="710">
        <f>G60</f>
        <v>0</v>
      </c>
      <c r="I231" s="1322"/>
      <c r="J231" s="706">
        <v>6</v>
      </c>
      <c r="K231" s="710">
        <f>J60</f>
        <v>30</v>
      </c>
      <c r="L231" s="710">
        <f>K60</f>
        <v>-1.5</v>
      </c>
      <c r="M231" s="710">
        <f>L60</f>
        <v>1.7</v>
      </c>
      <c r="N231" s="710" t="str">
        <f>M60</f>
        <v>-</v>
      </c>
      <c r="O231" s="710">
        <f>N60</f>
        <v>1.6</v>
      </c>
      <c r="Q231" s="1326"/>
      <c r="R231" s="706">
        <v>6</v>
      </c>
      <c r="S231" s="710">
        <f>Q60</f>
        <v>750</v>
      </c>
      <c r="T231" s="710">
        <f>R60</f>
        <v>0.9</v>
      </c>
      <c r="U231" s="710">
        <f>S60</f>
        <v>2.1</v>
      </c>
      <c r="V231" s="710" t="str">
        <f>T60</f>
        <v>-</v>
      </c>
      <c r="W231" s="440">
        <f>U60</f>
        <v>0.60000000000000009</v>
      </c>
      <c r="Y231" s="726">
        <v>7</v>
      </c>
      <c r="Z231" s="727">
        <f>X69</f>
        <v>0.2</v>
      </c>
      <c r="AE231" s="529"/>
    </row>
    <row r="232" spans="1:38" hidden="1" x14ac:dyDescent="0.2">
      <c r="A232" s="1322"/>
      <c r="B232" s="706">
        <v>7</v>
      </c>
      <c r="C232" s="710">
        <f>C71</f>
        <v>15</v>
      </c>
      <c r="D232" s="710">
        <f t="shared" ref="D232:E232" si="72">D71</f>
        <v>0.1</v>
      </c>
      <c r="E232" s="710">
        <f t="shared" si="72"/>
        <v>0.3</v>
      </c>
      <c r="F232" s="710" t="str">
        <f t="shared" ref="F232" si="73">F71</f>
        <v>-</v>
      </c>
      <c r="G232" s="710">
        <f>G71</f>
        <v>9.9999999999999992E-2</v>
      </c>
      <c r="I232" s="1322"/>
      <c r="J232" s="706">
        <v>7</v>
      </c>
      <c r="K232" s="710">
        <f>J71</f>
        <v>30</v>
      </c>
      <c r="L232" s="710">
        <f>K71</f>
        <v>-1.9</v>
      </c>
      <c r="M232" s="710">
        <f>L71</f>
        <v>1.8</v>
      </c>
      <c r="N232" s="710" t="str">
        <f>M71</f>
        <v>-</v>
      </c>
      <c r="O232" s="710">
        <f>N71</f>
        <v>1.85</v>
      </c>
      <c r="Q232" s="1326"/>
      <c r="R232" s="706">
        <v>7</v>
      </c>
      <c r="S232" s="710">
        <f>Q71</f>
        <v>750</v>
      </c>
      <c r="T232" s="710">
        <f>R71</f>
        <v>9.9999999999999995E-7</v>
      </c>
      <c r="U232" s="710">
        <f>S71</f>
        <v>3.2</v>
      </c>
      <c r="V232" s="710" t="str">
        <f>T71</f>
        <v>-</v>
      </c>
      <c r="W232" s="440">
        <f>U71</f>
        <v>1.5999995</v>
      </c>
      <c r="Y232" s="726">
        <v>8</v>
      </c>
      <c r="Z232" s="727">
        <f>X80</f>
        <v>0.3</v>
      </c>
      <c r="AE232" s="529"/>
    </row>
    <row r="233" spans="1:38" hidden="1" x14ac:dyDescent="0.2">
      <c r="A233" s="1322"/>
      <c r="B233" s="706">
        <v>8</v>
      </c>
      <c r="C233" s="710">
        <f>C82</f>
        <v>15</v>
      </c>
      <c r="D233" s="710">
        <f t="shared" ref="D233:E233" si="74">D82</f>
        <v>0.1</v>
      </c>
      <c r="E233" s="710">
        <f t="shared" si="74"/>
        <v>9.9999999999999995E-7</v>
      </c>
      <c r="F233" s="710" t="str">
        <f t="shared" ref="F233" si="75">F82</f>
        <v>-</v>
      </c>
      <c r="G233" s="710">
        <f>G82</f>
        <v>4.9999500000000002E-2</v>
      </c>
      <c r="I233" s="1322"/>
      <c r="J233" s="706">
        <v>8</v>
      </c>
      <c r="K233" s="710">
        <f>J82</f>
        <v>30</v>
      </c>
      <c r="L233" s="710">
        <f>K82</f>
        <v>-4</v>
      </c>
      <c r="M233" s="710">
        <f>L82</f>
        <v>-1.4</v>
      </c>
      <c r="N233" s="710" t="str">
        <f>M82</f>
        <v>-</v>
      </c>
      <c r="O233" s="710">
        <f>N82</f>
        <v>1.3</v>
      </c>
      <c r="Q233" s="1326"/>
      <c r="R233" s="706">
        <v>8</v>
      </c>
      <c r="S233" s="710">
        <f>Q82</f>
        <v>750</v>
      </c>
      <c r="T233" s="710">
        <f>R82</f>
        <v>9.9999999999999995E-7</v>
      </c>
      <c r="U233" s="710">
        <f>S82</f>
        <v>9.9999999999999995E-7</v>
      </c>
      <c r="V233" s="710" t="str">
        <f>T82</f>
        <v>-</v>
      </c>
      <c r="W233" s="440">
        <f>U82</f>
        <v>0</v>
      </c>
      <c r="Y233" s="726">
        <v>9</v>
      </c>
      <c r="Z233" s="727">
        <f>X91</f>
        <v>0.3</v>
      </c>
      <c r="AE233" s="529"/>
    </row>
    <row r="234" spans="1:38" hidden="1" x14ac:dyDescent="0.2">
      <c r="A234" s="1322"/>
      <c r="B234" s="706">
        <v>9</v>
      </c>
      <c r="C234" s="710">
        <f>C93</f>
        <v>15</v>
      </c>
      <c r="D234" s="710">
        <f t="shared" ref="D234:E234" si="76">D93</f>
        <v>9.9999999999999995E-7</v>
      </c>
      <c r="E234" s="710" t="str">
        <f t="shared" si="76"/>
        <v>-</v>
      </c>
      <c r="F234" s="710" t="str">
        <f t="shared" ref="F234" si="77">F93</f>
        <v>-</v>
      </c>
      <c r="G234" s="710">
        <f>G93</f>
        <v>0</v>
      </c>
      <c r="I234" s="1322"/>
      <c r="J234" s="706">
        <v>9</v>
      </c>
      <c r="K234" s="710">
        <f>J93</f>
        <v>30</v>
      </c>
      <c r="L234" s="710">
        <f>K93</f>
        <v>-1.2</v>
      </c>
      <c r="M234" s="710" t="str">
        <f>L93</f>
        <v>-</v>
      </c>
      <c r="N234" s="710" t="str">
        <f>M93</f>
        <v>-</v>
      </c>
      <c r="O234" s="710">
        <f>N93</f>
        <v>0</v>
      </c>
      <c r="Q234" s="1326"/>
      <c r="R234" s="706">
        <v>9</v>
      </c>
      <c r="S234" s="710">
        <f>Q93</f>
        <v>750</v>
      </c>
      <c r="T234" s="710">
        <f>R93</f>
        <v>9.9999999999999995E-7</v>
      </c>
      <c r="U234" s="710" t="str">
        <f>S93</f>
        <v>-</v>
      </c>
      <c r="V234" s="710" t="str">
        <f>T93</f>
        <v>-</v>
      </c>
      <c r="W234" s="440">
        <f>U93</f>
        <v>0</v>
      </c>
      <c r="Y234" s="726">
        <v>10</v>
      </c>
      <c r="Z234" s="727">
        <f>X102</f>
        <v>0.3</v>
      </c>
      <c r="AE234" s="529"/>
    </row>
    <row r="235" spans="1:38" hidden="1" x14ac:dyDescent="0.2">
      <c r="A235" s="1322"/>
      <c r="B235" s="706">
        <v>10</v>
      </c>
      <c r="C235" s="710">
        <f>C104</f>
        <v>15</v>
      </c>
      <c r="D235" s="710">
        <f t="shared" ref="D235:E235" si="78">D104</f>
        <v>0.2</v>
      </c>
      <c r="E235" s="710">
        <f t="shared" si="78"/>
        <v>0.2</v>
      </c>
      <c r="F235" s="710" t="str">
        <f t="shared" ref="F235" si="79">F104</f>
        <v>-</v>
      </c>
      <c r="G235" s="710">
        <f>G104</f>
        <v>0</v>
      </c>
      <c r="I235" s="1322"/>
      <c r="J235" s="706">
        <v>10</v>
      </c>
      <c r="K235" s="710">
        <f>J104</f>
        <v>30</v>
      </c>
      <c r="L235" s="710">
        <f>K104</f>
        <v>-2.9</v>
      </c>
      <c r="M235" s="710">
        <f>L104</f>
        <v>-5.8</v>
      </c>
      <c r="N235" s="710" t="str">
        <f>M104</f>
        <v>-</v>
      </c>
      <c r="O235" s="710">
        <f>N104</f>
        <v>1.45</v>
      </c>
      <c r="Q235" s="1326"/>
      <c r="R235" s="706">
        <v>10</v>
      </c>
      <c r="S235" s="710">
        <f>Q104</f>
        <v>750</v>
      </c>
      <c r="T235" s="710" t="str">
        <f>R104</f>
        <v>-</v>
      </c>
      <c r="U235" s="710" t="str">
        <f>S104</f>
        <v>-</v>
      </c>
      <c r="V235" s="710" t="str">
        <f>T104</f>
        <v>-</v>
      </c>
      <c r="W235" s="440">
        <f>U104</f>
        <v>0</v>
      </c>
      <c r="Y235" s="726">
        <v>11</v>
      </c>
      <c r="Z235" s="727">
        <f>X113</f>
        <v>0.3</v>
      </c>
      <c r="AE235" s="529"/>
    </row>
    <row r="236" spans="1:38" hidden="1" x14ac:dyDescent="0.2">
      <c r="A236" s="1322"/>
      <c r="B236" s="706">
        <v>11</v>
      </c>
      <c r="C236" s="710">
        <f>C115</f>
        <v>15</v>
      </c>
      <c r="D236" s="710">
        <f t="shared" ref="D236:E236" si="80">D115</f>
        <v>0.3</v>
      </c>
      <c r="E236" s="710">
        <f t="shared" si="80"/>
        <v>0.3</v>
      </c>
      <c r="F236" s="710" t="str">
        <f t="shared" ref="F236" si="81">F115</f>
        <v>-</v>
      </c>
      <c r="G236" s="710">
        <f>G115</f>
        <v>0</v>
      </c>
      <c r="I236" s="1322"/>
      <c r="J236" s="706">
        <v>11</v>
      </c>
      <c r="K236" s="710">
        <f>J115</f>
        <v>30</v>
      </c>
      <c r="L236" s="710">
        <f>K115</f>
        <v>-5.2</v>
      </c>
      <c r="M236" s="710">
        <f>L115</f>
        <v>-6.4</v>
      </c>
      <c r="N236" s="710" t="str">
        <f>M115</f>
        <v>-</v>
      </c>
      <c r="O236" s="710">
        <f>N115</f>
        <v>0.60000000000000009</v>
      </c>
      <c r="Q236" s="1326"/>
      <c r="R236" s="706">
        <v>11</v>
      </c>
      <c r="S236" s="710">
        <f>Q115</f>
        <v>750</v>
      </c>
      <c r="T236" s="710" t="str">
        <f>R115</f>
        <v>-</v>
      </c>
      <c r="U236" s="710" t="str">
        <f>S115</f>
        <v>-</v>
      </c>
      <c r="V236" s="710" t="str">
        <f>T115</f>
        <v>-</v>
      </c>
      <c r="W236" s="440">
        <f>U115</f>
        <v>0</v>
      </c>
      <c r="Y236" s="726">
        <v>12</v>
      </c>
      <c r="Z236" s="727">
        <f>X124</f>
        <v>0.3</v>
      </c>
      <c r="AE236" s="529"/>
    </row>
    <row r="237" spans="1:38" hidden="1" x14ac:dyDescent="0.2">
      <c r="A237" s="1322"/>
      <c r="B237" s="706">
        <v>12</v>
      </c>
      <c r="C237" s="710">
        <f>C126</f>
        <v>15</v>
      </c>
      <c r="D237" s="710">
        <f t="shared" ref="D237:E237" si="82">D126</f>
        <v>9.9999999999999995E-7</v>
      </c>
      <c r="E237" s="710" t="str">
        <f t="shared" si="82"/>
        <v>-</v>
      </c>
      <c r="F237" s="710" t="str">
        <f t="shared" ref="F237" si="83">F126</f>
        <v>-</v>
      </c>
      <c r="G237" s="710">
        <f>G126</f>
        <v>0</v>
      </c>
      <c r="I237" s="1322"/>
      <c r="J237" s="706">
        <v>12</v>
      </c>
      <c r="K237" s="710">
        <f>J126</f>
        <v>30</v>
      </c>
      <c r="L237" s="710">
        <f>K126</f>
        <v>-0.4</v>
      </c>
      <c r="M237" s="710" t="str">
        <f>L126</f>
        <v>-</v>
      </c>
      <c r="N237" s="710" t="str">
        <f>M126</f>
        <v>-</v>
      </c>
      <c r="O237" s="710">
        <f>N126</f>
        <v>0</v>
      </c>
      <c r="Q237" s="1326"/>
      <c r="R237" s="706">
        <v>12</v>
      </c>
      <c r="S237" s="710">
        <f>Q126</f>
        <v>800</v>
      </c>
      <c r="T237" s="710">
        <f>R126</f>
        <v>-0.4</v>
      </c>
      <c r="U237" s="710" t="str">
        <f>S126</f>
        <v>-</v>
      </c>
      <c r="V237" s="710" t="str">
        <f>T126</f>
        <v>-</v>
      </c>
      <c r="W237" s="440">
        <f>U126</f>
        <v>0</v>
      </c>
      <c r="Y237" s="726">
        <v>13</v>
      </c>
      <c r="Z237" s="730">
        <f>X135</f>
        <v>0.5</v>
      </c>
      <c r="AE237" s="529"/>
      <c r="AL237" s="529"/>
    </row>
    <row r="238" spans="1:38" hidden="1" x14ac:dyDescent="0.2">
      <c r="A238" s="1322"/>
      <c r="B238" s="706">
        <v>13</v>
      </c>
      <c r="C238" s="710">
        <f>C137</f>
        <v>15</v>
      </c>
      <c r="D238" s="710">
        <f t="shared" ref="D238:E238" si="84">D137</f>
        <v>0.5</v>
      </c>
      <c r="E238" s="710">
        <f t="shared" si="84"/>
        <v>-0.7</v>
      </c>
      <c r="F238" s="710" t="str">
        <f t="shared" ref="F238" si="85">F137</f>
        <v>-</v>
      </c>
      <c r="G238" s="710">
        <f>G137</f>
        <v>0.6</v>
      </c>
      <c r="I238" s="1322"/>
      <c r="J238" s="706">
        <v>13</v>
      </c>
      <c r="K238" s="710">
        <f>J137</f>
        <v>30</v>
      </c>
      <c r="L238" s="710">
        <f>K137</f>
        <v>-2.2000000000000002</v>
      </c>
      <c r="M238" s="710">
        <f>L137</f>
        <v>-1.4</v>
      </c>
      <c r="N238" s="710" t="str">
        <f>M137</f>
        <v>-</v>
      </c>
      <c r="O238" s="710">
        <f>N137</f>
        <v>0.40000000000000013</v>
      </c>
      <c r="Q238" s="1326"/>
      <c r="R238" s="706">
        <v>13</v>
      </c>
      <c r="S238" s="710">
        <f>Q137</f>
        <v>985</v>
      </c>
      <c r="T238" s="710">
        <f>R137</f>
        <v>3.8</v>
      </c>
      <c r="U238" s="710">
        <f>S137</f>
        <v>0.9</v>
      </c>
      <c r="V238" s="710" t="str">
        <f>T137</f>
        <v>-</v>
      </c>
      <c r="W238" s="440">
        <f>U137</f>
        <v>1.45</v>
      </c>
      <c r="Y238" s="726">
        <v>14</v>
      </c>
      <c r="Z238" s="730">
        <f>X146</f>
        <v>0.5</v>
      </c>
      <c r="AE238" s="529"/>
      <c r="AL238" s="529"/>
    </row>
    <row r="239" spans="1:38" hidden="1" x14ac:dyDescent="0.2">
      <c r="A239" s="1322"/>
      <c r="B239" s="706">
        <v>14</v>
      </c>
      <c r="C239" s="710">
        <f>C148</f>
        <v>15</v>
      </c>
      <c r="D239" s="710">
        <f t="shared" ref="D239:E239" si="86">D148</f>
        <v>0.5</v>
      </c>
      <c r="E239" s="710">
        <f t="shared" si="86"/>
        <v>-0.2</v>
      </c>
      <c r="F239" s="710" t="str">
        <f t="shared" ref="F239" si="87">F148</f>
        <v>-</v>
      </c>
      <c r="G239" s="710">
        <f>G148</f>
        <v>0.35</v>
      </c>
      <c r="I239" s="1322"/>
      <c r="J239" s="706">
        <v>14</v>
      </c>
      <c r="K239" s="710">
        <f>J148</f>
        <v>30</v>
      </c>
      <c r="L239" s="710">
        <f>K148</f>
        <v>-0.8</v>
      </c>
      <c r="M239" s="710">
        <f>L148</f>
        <v>0.6</v>
      </c>
      <c r="N239" s="710" t="str">
        <f>M148</f>
        <v>-</v>
      </c>
      <c r="O239" s="710">
        <f>N148</f>
        <v>0.7</v>
      </c>
      <c r="Q239" s="1326"/>
      <c r="R239" s="706">
        <v>14</v>
      </c>
      <c r="S239" s="710">
        <f>Q148</f>
        <v>985</v>
      </c>
      <c r="T239" s="710">
        <f>R148</f>
        <v>3.9</v>
      </c>
      <c r="U239" s="710">
        <f>S148</f>
        <v>0.9</v>
      </c>
      <c r="V239" s="710" t="str">
        <f>T148</f>
        <v>-</v>
      </c>
      <c r="W239" s="440">
        <f>U148</f>
        <v>1.5</v>
      </c>
      <c r="Y239" s="726">
        <v>15</v>
      </c>
      <c r="Z239" s="730">
        <f>X157</f>
        <v>0.5</v>
      </c>
      <c r="AE239" s="529"/>
      <c r="AL239" s="529"/>
    </row>
    <row r="240" spans="1:38" hidden="1" x14ac:dyDescent="0.2">
      <c r="A240" s="1322"/>
      <c r="B240" s="706">
        <v>15</v>
      </c>
      <c r="C240" s="710">
        <f>C159</f>
        <v>15</v>
      </c>
      <c r="D240" s="710">
        <f t="shared" ref="D240:E240" si="88">D159</f>
        <v>0.6</v>
      </c>
      <c r="E240" s="710">
        <f t="shared" si="88"/>
        <v>-0.6</v>
      </c>
      <c r="F240" s="710" t="str">
        <f t="shared" ref="F240" si="89">F159</f>
        <v>-</v>
      </c>
      <c r="G240" s="710">
        <f>G159</f>
        <v>0.6</v>
      </c>
      <c r="I240" s="1322"/>
      <c r="J240" s="706">
        <v>15</v>
      </c>
      <c r="K240" s="710">
        <f>J159</f>
        <v>30</v>
      </c>
      <c r="L240" s="710">
        <f>K159</f>
        <v>-2</v>
      </c>
      <c r="M240" s="710">
        <f>L159</f>
        <v>-0.4</v>
      </c>
      <c r="N240" s="710" t="str">
        <f>M159</f>
        <v>-</v>
      </c>
      <c r="O240" s="710">
        <f>N159</f>
        <v>0.8</v>
      </c>
      <c r="Q240" s="1326"/>
      <c r="R240" s="706">
        <v>15</v>
      </c>
      <c r="S240" s="710">
        <f>Q159</f>
        <v>985</v>
      </c>
      <c r="T240" s="710">
        <f>R159</f>
        <v>4.3</v>
      </c>
      <c r="U240" s="710">
        <f>S159</f>
        <v>0.9</v>
      </c>
      <c r="V240" s="710" t="str">
        <f>T159</f>
        <v>-</v>
      </c>
      <c r="W240" s="440">
        <f>U159</f>
        <v>1.7</v>
      </c>
      <c r="Y240" s="726">
        <v>16</v>
      </c>
      <c r="Z240" s="730">
        <f>X168</f>
        <v>0.4</v>
      </c>
      <c r="AE240" s="529"/>
      <c r="AL240" s="529"/>
    </row>
    <row r="241" spans="1:38" hidden="1" x14ac:dyDescent="0.2">
      <c r="A241" s="1322"/>
      <c r="B241" s="706">
        <v>16</v>
      </c>
      <c r="C241" s="710">
        <f>C170</f>
        <v>15</v>
      </c>
      <c r="D241" s="710">
        <f t="shared" ref="D241:E241" si="90">D170</f>
        <v>0.1</v>
      </c>
      <c r="E241" s="710" t="str">
        <f t="shared" si="90"/>
        <v>-</v>
      </c>
      <c r="F241" s="710" t="str">
        <f t="shared" ref="F241" si="91">F170</f>
        <v>-</v>
      </c>
      <c r="G241" s="710">
        <f>G170</f>
        <v>0</v>
      </c>
      <c r="I241" s="1322"/>
      <c r="J241" s="706">
        <v>16</v>
      </c>
      <c r="K241" s="710">
        <f>J170</f>
        <v>30</v>
      </c>
      <c r="L241" s="710">
        <f>K170</f>
        <v>-1.6</v>
      </c>
      <c r="M241" s="710" t="str">
        <f>L170</f>
        <v>-</v>
      </c>
      <c r="N241" s="710" t="str">
        <f>M170</f>
        <v>-</v>
      </c>
      <c r="O241" s="710">
        <f>N170</f>
        <v>0</v>
      </c>
      <c r="Q241" s="1326"/>
      <c r="R241" s="706">
        <v>16</v>
      </c>
      <c r="S241" s="710">
        <f>Q170</f>
        <v>800</v>
      </c>
      <c r="T241" s="710">
        <f>R170</f>
        <v>-2.9</v>
      </c>
      <c r="U241" s="710" t="str">
        <f>S170</f>
        <v>-</v>
      </c>
      <c r="V241" s="710" t="str">
        <f>T170</f>
        <v>-</v>
      </c>
      <c r="W241" s="440">
        <f>U170</f>
        <v>0</v>
      </c>
      <c r="Y241" s="726">
        <v>17</v>
      </c>
      <c r="Z241" s="730">
        <f>X179</f>
        <v>0.3</v>
      </c>
      <c r="AE241" s="529"/>
      <c r="AL241" s="529"/>
    </row>
    <row r="242" spans="1:38" hidden="1" x14ac:dyDescent="0.2">
      <c r="A242" s="1322"/>
      <c r="B242" s="706">
        <v>17</v>
      </c>
      <c r="C242" s="710">
        <f>C181</f>
        <v>15</v>
      </c>
      <c r="D242" s="710">
        <f t="shared" ref="D242:E242" si="92">D181</f>
        <v>0.1</v>
      </c>
      <c r="E242" s="710" t="str">
        <f t="shared" si="92"/>
        <v>-</v>
      </c>
      <c r="F242" s="710" t="str">
        <f t="shared" ref="F242" si="93">F181</f>
        <v>-</v>
      </c>
      <c r="G242" s="710">
        <f>G181</f>
        <v>0</v>
      </c>
      <c r="I242" s="1322"/>
      <c r="J242" s="706">
        <v>17</v>
      </c>
      <c r="K242" s="710">
        <f>J181</f>
        <v>30</v>
      </c>
      <c r="L242" s="710">
        <f>K181</f>
        <v>0.1</v>
      </c>
      <c r="M242" s="710" t="str">
        <f>L181</f>
        <v>-</v>
      </c>
      <c r="N242" s="710" t="str">
        <f>M181</f>
        <v>-</v>
      </c>
      <c r="O242" s="710">
        <f>N181</f>
        <v>0</v>
      </c>
      <c r="Q242" s="1326"/>
      <c r="R242" s="706">
        <v>17</v>
      </c>
      <c r="S242" s="710">
        <f>Q181</f>
        <v>960</v>
      </c>
      <c r="T242" s="710">
        <f>R181</f>
        <v>-0.6</v>
      </c>
      <c r="U242" s="710" t="str">
        <f>S181</f>
        <v>-</v>
      </c>
      <c r="V242" s="710" t="str">
        <f>T181</f>
        <v>-</v>
      </c>
      <c r="W242" s="440">
        <f>U181</f>
        <v>0</v>
      </c>
      <c r="Y242" s="726">
        <v>18</v>
      </c>
      <c r="Z242" s="730">
        <f>X190</f>
        <v>0.3</v>
      </c>
      <c r="AE242" s="529"/>
      <c r="AL242" s="529"/>
    </row>
    <row r="243" spans="1:38" hidden="1" x14ac:dyDescent="0.2">
      <c r="A243" s="1322"/>
      <c r="B243" s="706">
        <v>18</v>
      </c>
      <c r="C243" s="710">
        <f>C192</f>
        <v>15</v>
      </c>
      <c r="D243" s="710">
        <f t="shared" ref="D243:E243" si="94">D192</f>
        <v>9.9999999999999995E-7</v>
      </c>
      <c r="E243" s="710" t="str">
        <f t="shared" si="94"/>
        <v>-</v>
      </c>
      <c r="F243" s="710" t="str">
        <f t="shared" ref="F243" si="95">F192</f>
        <v>-</v>
      </c>
      <c r="G243" s="710">
        <f>G192</f>
        <v>0</v>
      </c>
      <c r="I243" s="1322"/>
      <c r="J243" s="706">
        <v>18</v>
      </c>
      <c r="K243" s="710">
        <f>J192</f>
        <v>30</v>
      </c>
      <c r="L243" s="710">
        <f>K192</f>
        <v>-0.4</v>
      </c>
      <c r="M243" s="710" t="str">
        <f>L192</f>
        <v>-</v>
      </c>
      <c r="N243" s="710" t="str">
        <f>M192</f>
        <v>-</v>
      </c>
      <c r="O243" s="710">
        <f>N192</f>
        <v>0</v>
      </c>
      <c r="Q243" s="1326"/>
      <c r="R243" s="706">
        <v>18</v>
      </c>
      <c r="S243" s="710">
        <f>Q192</f>
        <v>800</v>
      </c>
      <c r="T243" s="710">
        <f>R192</f>
        <v>-1.5</v>
      </c>
      <c r="U243" s="710" t="str">
        <f>S192</f>
        <v>-</v>
      </c>
      <c r="V243" s="710" t="str">
        <f>T192</f>
        <v>-</v>
      </c>
      <c r="W243" s="440">
        <f>U192</f>
        <v>0</v>
      </c>
      <c r="Y243" s="726">
        <v>19</v>
      </c>
      <c r="Z243" s="730">
        <f>X201</f>
        <v>0.1</v>
      </c>
      <c r="AE243" s="529"/>
      <c r="AL243" s="529"/>
    </row>
    <row r="244" spans="1:38" ht="13.5" hidden="1" thickBot="1" x14ac:dyDescent="0.25">
      <c r="A244" s="1322"/>
      <c r="B244" s="706">
        <v>19</v>
      </c>
      <c r="C244" s="710">
        <f>C203</f>
        <v>15</v>
      </c>
      <c r="D244" s="710">
        <f t="shared" ref="D244:E244" si="96">D203</f>
        <v>9.9999999999999995E-7</v>
      </c>
      <c r="E244" s="710" t="str">
        <f t="shared" si="96"/>
        <v>-</v>
      </c>
      <c r="F244" s="710" t="str">
        <f t="shared" ref="F244" si="97">F203</f>
        <v>-</v>
      </c>
      <c r="G244" s="710">
        <f>G203</f>
        <v>0</v>
      </c>
      <c r="I244" s="1322"/>
      <c r="J244" s="706">
        <v>19</v>
      </c>
      <c r="K244" s="710">
        <f>J203</f>
        <v>30</v>
      </c>
      <c r="L244" s="710">
        <f>K203</f>
        <v>-1.5</v>
      </c>
      <c r="M244" s="710" t="str">
        <f>L203</f>
        <v>-</v>
      </c>
      <c r="N244" s="710" t="str">
        <f>M203</f>
        <v>-</v>
      </c>
      <c r="O244" s="710">
        <f>N203</f>
        <v>0</v>
      </c>
      <c r="Q244" s="1326"/>
      <c r="R244" s="706">
        <v>19</v>
      </c>
      <c r="S244" s="710">
        <f>Q203</f>
        <v>750</v>
      </c>
      <c r="T244" s="710">
        <f>R203</f>
        <v>2.5</v>
      </c>
      <c r="U244" s="710" t="str">
        <f>S203</f>
        <v>-</v>
      </c>
      <c r="V244" s="710" t="str">
        <f>T203</f>
        <v>-</v>
      </c>
      <c r="W244" s="440">
        <f>U203</f>
        <v>0</v>
      </c>
      <c r="Y244" s="731">
        <v>20</v>
      </c>
      <c r="Z244" s="732">
        <f>X212</f>
        <v>0</v>
      </c>
      <c r="AE244" s="529"/>
      <c r="AL244" s="529"/>
    </row>
    <row r="245" spans="1:38" ht="13.5" hidden="1" thickBot="1" x14ac:dyDescent="0.25">
      <c r="A245" s="1322"/>
      <c r="B245" s="706">
        <v>20</v>
      </c>
      <c r="C245" s="710">
        <f>C214</f>
        <v>14.8</v>
      </c>
      <c r="D245" s="710">
        <f t="shared" ref="D245:E245" si="98">D214</f>
        <v>9.9999999999999995E-7</v>
      </c>
      <c r="E245" s="710" t="str">
        <f t="shared" si="98"/>
        <v>-</v>
      </c>
      <c r="F245" s="710" t="str">
        <f t="shared" ref="F245" si="99">F214</f>
        <v>-</v>
      </c>
      <c r="G245" s="710">
        <f>G214</f>
        <v>0</v>
      </c>
      <c r="I245" s="1322"/>
      <c r="J245" s="706">
        <v>20</v>
      </c>
      <c r="K245" s="710">
        <f>J214</f>
        <v>45.7</v>
      </c>
      <c r="L245" s="710">
        <f>K214</f>
        <v>9.9999999999999995E-7</v>
      </c>
      <c r="M245" s="710" t="str">
        <f>L214</f>
        <v>-</v>
      </c>
      <c r="N245" s="710" t="str">
        <f>M214</f>
        <v>-</v>
      </c>
      <c r="O245" s="710">
        <f>N214</f>
        <v>0</v>
      </c>
      <c r="Q245" s="1327"/>
      <c r="R245" s="708">
        <v>20</v>
      </c>
      <c r="S245" s="441">
        <f>Q214</f>
        <v>750</v>
      </c>
      <c r="T245" s="441">
        <f>R214</f>
        <v>9.9999999999999995E-7</v>
      </c>
      <c r="U245" s="441" t="str">
        <f>S214</f>
        <v>-</v>
      </c>
      <c r="V245" s="441" t="str">
        <f>T214</f>
        <v>-</v>
      </c>
      <c r="W245" s="442">
        <f>U214</f>
        <v>0</v>
      </c>
      <c r="Y245" s="537"/>
      <c r="AE245" s="583"/>
      <c r="AL245" s="529"/>
    </row>
    <row r="246" spans="1:38" ht="13.5" hidden="1" thickBot="1" x14ac:dyDescent="0.25">
      <c r="A246" s="455"/>
      <c r="B246" s="455"/>
      <c r="C246" s="499"/>
      <c r="D246" s="499"/>
      <c r="E246" s="499"/>
      <c r="F246" s="570"/>
      <c r="G246" s="499"/>
      <c r="I246" s="455"/>
      <c r="J246" s="455"/>
      <c r="K246" s="499"/>
      <c r="L246" s="499"/>
      <c r="M246" s="499"/>
      <c r="N246" s="570"/>
      <c r="O246" s="499"/>
      <c r="Q246" s="584"/>
      <c r="R246" s="584"/>
      <c r="S246" s="443"/>
      <c r="T246" s="443"/>
      <c r="U246" s="443"/>
      <c r="W246" s="444"/>
      <c r="Y246" s="525"/>
      <c r="AE246" s="525"/>
      <c r="AL246" s="525"/>
    </row>
    <row r="247" spans="1:38" hidden="1" x14ac:dyDescent="0.2">
      <c r="A247" s="1322">
        <v>2</v>
      </c>
      <c r="B247" s="706">
        <v>1</v>
      </c>
      <c r="C247" s="710">
        <f>C6</f>
        <v>20</v>
      </c>
      <c r="D247" s="710">
        <f t="shared" ref="D247:E247" si="100">D6</f>
        <v>-0.2</v>
      </c>
      <c r="E247" s="710">
        <f t="shared" si="100"/>
        <v>0.2</v>
      </c>
      <c r="F247" s="710" t="str">
        <f t="shared" ref="F247" si="101">F6</f>
        <v>-</v>
      </c>
      <c r="G247" s="710">
        <f>G6</f>
        <v>0.2</v>
      </c>
      <c r="I247" s="1322">
        <v>2</v>
      </c>
      <c r="J247" s="706">
        <v>1</v>
      </c>
      <c r="K247" s="710">
        <f>J6</f>
        <v>40</v>
      </c>
      <c r="L247" s="710">
        <f>K6</f>
        <v>-6</v>
      </c>
      <c r="M247" s="710">
        <f>L6</f>
        <v>-8.6</v>
      </c>
      <c r="N247" s="710" t="str">
        <f>M6</f>
        <v>-</v>
      </c>
      <c r="O247" s="710">
        <f>N6</f>
        <v>1.2999999999999998</v>
      </c>
      <c r="Q247" s="1323">
        <v>2</v>
      </c>
      <c r="R247" s="707">
        <v>1</v>
      </c>
      <c r="S247" s="445">
        <f>Q6</f>
        <v>800</v>
      </c>
      <c r="T247" s="445" t="str">
        <f>R6</f>
        <v>-</v>
      </c>
      <c r="U247" s="445" t="str">
        <f>S6</f>
        <v>-</v>
      </c>
      <c r="V247" s="445" t="str">
        <f>T6</f>
        <v>-</v>
      </c>
      <c r="W247" s="446">
        <f>U6</f>
        <v>0</v>
      </c>
      <c r="Y247" s="1328" t="s">
        <v>284</v>
      </c>
      <c r="Z247" s="1329"/>
      <c r="AE247" s="585"/>
    </row>
    <row r="248" spans="1:38" hidden="1" x14ac:dyDescent="0.2">
      <c r="A248" s="1322"/>
      <c r="B248" s="706">
        <v>2</v>
      </c>
      <c r="C248" s="710">
        <f>C17</f>
        <v>20</v>
      </c>
      <c r="D248" s="710">
        <f t="shared" ref="D248:E248" si="102">D17</f>
        <v>0.7</v>
      </c>
      <c r="E248" s="710">
        <f t="shared" si="102"/>
        <v>-0.1</v>
      </c>
      <c r="F248" s="710" t="str">
        <f t="shared" ref="F248" si="103">F17</f>
        <v>-</v>
      </c>
      <c r="G248" s="710">
        <f>G17</f>
        <v>0.39999999999999997</v>
      </c>
      <c r="I248" s="1322"/>
      <c r="J248" s="706">
        <v>2</v>
      </c>
      <c r="K248" s="710">
        <f>J17</f>
        <v>40</v>
      </c>
      <c r="L248" s="710">
        <f>K17</f>
        <v>-6.2</v>
      </c>
      <c r="M248" s="710">
        <f>L17</f>
        <v>-1.6</v>
      </c>
      <c r="N248" s="710" t="str">
        <f>M17</f>
        <v>-</v>
      </c>
      <c r="O248" s="710">
        <f>N17</f>
        <v>2.2999999999999998</v>
      </c>
      <c r="Q248" s="1322"/>
      <c r="R248" s="706">
        <v>2</v>
      </c>
      <c r="S248" s="710">
        <f>Q17</f>
        <v>800</v>
      </c>
      <c r="T248" s="710" t="str">
        <f>R17</f>
        <v>-</v>
      </c>
      <c r="U248" s="710" t="str">
        <f>S17</f>
        <v>-</v>
      </c>
      <c r="V248" s="710" t="str">
        <f>T17</f>
        <v>-</v>
      </c>
      <c r="W248" s="440">
        <f>U17</f>
        <v>0</v>
      </c>
      <c r="Y248" s="1330" t="s">
        <v>288</v>
      </c>
      <c r="Z248" s="1331"/>
      <c r="AE248" s="529"/>
    </row>
    <row r="249" spans="1:38" hidden="1" x14ac:dyDescent="0.2">
      <c r="A249" s="1322"/>
      <c r="B249" s="706">
        <v>3</v>
      </c>
      <c r="C249" s="706">
        <f>C28</f>
        <v>20</v>
      </c>
      <c r="D249" s="706">
        <f t="shared" ref="D249:E249" si="104">D28</f>
        <v>1</v>
      </c>
      <c r="E249" s="706">
        <f t="shared" si="104"/>
        <v>9.9999999999999995E-7</v>
      </c>
      <c r="F249" s="706" t="str">
        <f t="shared" ref="F249" si="105">F28</f>
        <v>-</v>
      </c>
      <c r="G249" s="706">
        <f>G28</f>
        <v>0.49999949999999999</v>
      </c>
      <c r="I249" s="1322"/>
      <c r="J249" s="706">
        <v>3</v>
      </c>
      <c r="K249" s="706">
        <f>J28</f>
        <v>40</v>
      </c>
      <c r="L249" s="706">
        <f>K28</f>
        <v>-5.9</v>
      </c>
      <c r="M249" s="706">
        <f>L28</f>
        <v>-5.3</v>
      </c>
      <c r="N249" s="706" t="str">
        <f>M28</f>
        <v>-</v>
      </c>
      <c r="O249" s="706">
        <f>N28</f>
        <v>0.30000000000000027</v>
      </c>
      <c r="Q249" s="1322"/>
      <c r="R249" s="706">
        <v>3</v>
      </c>
      <c r="S249" s="706">
        <f>Q28</f>
        <v>800</v>
      </c>
      <c r="T249" s="706" t="str">
        <f>R28</f>
        <v>-</v>
      </c>
      <c r="U249" s="706" t="str">
        <f>S28</f>
        <v>-</v>
      </c>
      <c r="V249" s="706" t="str">
        <f>T28</f>
        <v>-</v>
      </c>
      <c r="W249" s="439">
        <f>U28</f>
        <v>0</v>
      </c>
      <c r="Y249" s="726">
        <v>1</v>
      </c>
      <c r="Z249" s="727">
        <f>X4</f>
        <v>3.1</v>
      </c>
      <c r="AE249" s="529"/>
    </row>
    <row r="250" spans="1:38" hidden="1" x14ac:dyDescent="0.2">
      <c r="A250" s="1322"/>
      <c r="B250" s="706">
        <v>4</v>
      </c>
      <c r="C250" s="706">
        <f>C39</f>
        <v>20</v>
      </c>
      <c r="D250" s="706">
        <f t="shared" ref="D250:E250" si="106">D39</f>
        <v>-0.1</v>
      </c>
      <c r="E250" s="706">
        <f t="shared" si="106"/>
        <v>-0.3</v>
      </c>
      <c r="F250" s="706" t="str">
        <f t="shared" ref="F250" si="107">F39</f>
        <v>-</v>
      </c>
      <c r="G250" s="706">
        <f>G39</f>
        <v>9.9999999999999992E-2</v>
      </c>
      <c r="I250" s="1322"/>
      <c r="J250" s="706">
        <v>4</v>
      </c>
      <c r="K250" s="706">
        <f>J39</f>
        <v>40</v>
      </c>
      <c r="L250" s="706">
        <f>K39</f>
        <v>-4.4000000000000004</v>
      </c>
      <c r="M250" s="706">
        <f>L39</f>
        <v>-1.5</v>
      </c>
      <c r="N250" s="706" t="str">
        <f>M39</f>
        <v>-</v>
      </c>
      <c r="O250" s="706">
        <f>N39</f>
        <v>1.4500000000000002</v>
      </c>
      <c r="Q250" s="1322"/>
      <c r="R250" s="706">
        <v>4</v>
      </c>
      <c r="S250" s="706">
        <f>Q39</f>
        <v>800</v>
      </c>
      <c r="T250" s="706" t="str">
        <f>R39</f>
        <v>-</v>
      </c>
      <c r="U250" s="706" t="str">
        <f>S39</f>
        <v>-</v>
      </c>
      <c r="V250" s="706" t="str">
        <f>T39</f>
        <v>-</v>
      </c>
      <c r="W250" s="439">
        <f>U39</f>
        <v>0</v>
      </c>
      <c r="Y250" s="728">
        <v>2</v>
      </c>
      <c r="Z250" s="727">
        <f>X15</f>
        <v>2.2000000000000002</v>
      </c>
      <c r="AE250" s="529"/>
    </row>
    <row r="251" spans="1:38" hidden="1" x14ac:dyDescent="0.2">
      <c r="A251" s="1322"/>
      <c r="B251" s="706">
        <v>5</v>
      </c>
      <c r="C251" s="706">
        <f>C50</f>
        <v>20</v>
      </c>
      <c r="D251" s="706">
        <f t="shared" ref="D251:E251" si="108">D50</f>
        <v>0.1</v>
      </c>
      <c r="E251" s="706">
        <f t="shared" si="108"/>
        <v>0.3</v>
      </c>
      <c r="F251" s="706" t="str">
        <f t="shared" ref="F251" si="109">F50</f>
        <v>-</v>
      </c>
      <c r="G251" s="706">
        <f>G50</f>
        <v>9.9999999999999992E-2</v>
      </c>
      <c r="I251" s="1322"/>
      <c r="J251" s="706">
        <v>5</v>
      </c>
      <c r="K251" s="706">
        <f>J50</f>
        <v>40</v>
      </c>
      <c r="L251" s="706">
        <f>K50</f>
        <v>-7.2</v>
      </c>
      <c r="M251" s="706">
        <f>L50</f>
        <v>-8</v>
      </c>
      <c r="N251" s="706" t="str">
        <f>M50</f>
        <v>-</v>
      </c>
      <c r="O251" s="706">
        <f>N50</f>
        <v>0.39999999999999991</v>
      </c>
      <c r="Q251" s="1322"/>
      <c r="R251" s="706">
        <v>5</v>
      </c>
      <c r="S251" s="706">
        <f>Q50</f>
        <v>800</v>
      </c>
      <c r="T251" s="706" t="str">
        <f>R50</f>
        <v>-</v>
      </c>
      <c r="U251" s="706" t="str">
        <f>S50</f>
        <v>-</v>
      </c>
      <c r="V251" s="706" t="str">
        <f>T50</f>
        <v>-</v>
      </c>
      <c r="W251" s="439">
        <f>U50</f>
        <v>0</v>
      </c>
      <c r="Y251" s="728">
        <v>3</v>
      </c>
      <c r="Z251" s="729">
        <f>X26</f>
        <v>3.1</v>
      </c>
      <c r="AE251" s="529"/>
    </row>
    <row r="252" spans="1:38" hidden="1" x14ac:dyDescent="0.2">
      <c r="A252" s="1322"/>
      <c r="B252" s="706">
        <v>6</v>
      </c>
      <c r="C252" s="706">
        <f>C61</f>
        <v>20</v>
      </c>
      <c r="D252" s="706">
        <f t="shared" ref="D252:E252" si="110">D61</f>
        <v>0.3</v>
      </c>
      <c r="E252" s="706">
        <f t="shared" si="110"/>
        <v>0.2</v>
      </c>
      <c r="F252" s="706" t="str">
        <f t="shared" ref="F252" si="111">F61</f>
        <v>-</v>
      </c>
      <c r="G252" s="706">
        <f>G61</f>
        <v>4.9999999999999989E-2</v>
      </c>
      <c r="I252" s="1322"/>
      <c r="J252" s="706">
        <v>6</v>
      </c>
      <c r="K252" s="706">
        <f>J61</f>
        <v>40</v>
      </c>
      <c r="L252" s="706">
        <f>K61</f>
        <v>-3.8</v>
      </c>
      <c r="M252" s="706">
        <f>L61</f>
        <v>1.5</v>
      </c>
      <c r="N252" s="706" t="str">
        <f>M61</f>
        <v>-</v>
      </c>
      <c r="O252" s="706">
        <f>N61</f>
        <v>2.65</v>
      </c>
      <c r="Q252" s="1322"/>
      <c r="R252" s="706">
        <v>6</v>
      </c>
      <c r="S252" s="706">
        <f>Q61</f>
        <v>800</v>
      </c>
      <c r="T252" s="706">
        <f>R61</f>
        <v>0.9</v>
      </c>
      <c r="U252" s="706">
        <f>S61</f>
        <v>1.6</v>
      </c>
      <c r="V252" s="706" t="str">
        <f>T61</f>
        <v>-</v>
      </c>
      <c r="W252" s="439">
        <f>U61</f>
        <v>0.35000000000000003</v>
      </c>
      <c r="Y252" s="728">
        <v>4</v>
      </c>
      <c r="Z252" s="729">
        <f>X37</f>
        <v>1.3</v>
      </c>
      <c r="AE252" s="529"/>
    </row>
    <row r="253" spans="1:38" hidden="1" x14ac:dyDescent="0.2">
      <c r="A253" s="1322"/>
      <c r="B253" s="706">
        <v>7</v>
      </c>
      <c r="C253" s="706">
        <f>C72</f>
        <v>20</v>
      </c>
      <c r="D253" s="706">
        <f t="shared" ref="D253:E253" si="112">D72</f>
        <v>9.9999999999999995E-7</v>
      </c>
      <c r="E253" s="706">
        <f t="shared" si="112"/>
        <v>0.1</v>
      </c>
      <c r="F253" s="706" t="str">
        <f t="shared" ref="F253" si="113">F72</f>
        <v>-</v>
      </c>
      <c r="G253" s="706">
        <f>G72</f>
        <v>4.9999500000000002E-2</v>
      </c>
      <c r="I253" s="1322"/>
      <c r="J253" s="706">
        <v>7</v>
      </c>
      <c r="K253" s="706">
        <f>J72</f>
        <v>40</v>
      </c>
      <c r="L253" s="706">
        <f>K72</f>
        <v>-1.9</v>
      </c>
      <c r="M253" s="706">
        <f>L72</f>
        <v>1.2</v>
      </c>
      <c r="N253" s="706" t="str">
        <f>M72</f>
        <v>-</v>
      </c>
      <c r="O253" s="706">
        <f>N72</f>
        <v>1.5499999999999998</v>
      </c>
      <c r="Q253" s="1322"/>
      <c r="R253" s="706">
        <v>7</v>
      </c>
      <c r="S253" s="706">
        <f>Q72</f>
        <v>800</v>
      </c>
      <c r="T253" s="706">
        <f>R72</f>
        <v>9.9999999999999995E-7</v>
      </c>
      <c r="U253" s="706">
        <f>S72</f>
        <v>2.5</v>
      </c>
      <c r="V253" s="706" t="str">
        <f>T72</f>
        <v>-</v>
      </c>
      <c r="W253" s="439">
        <f>U72</f>
        <v>1.2499994999999999</v>
      </c>
      <c r="Y253" s="728">
        <v>5</v>
      </c>
      <c r="Z253" s="729">
        <f>X48</f>
        <v>2.8</v>
      </c>
      <c r="AE253" s="529"/>
    </row>
    <row r="254" spans="1:38" hidden="1" x14ac:dyDescent="0.2">
      <c r="A254" s="1322"/>
      <c r="B254" s="706">
        <v>8</v>
      </c>
      <c r="C254" s="706">
        <f>C83</f>
        <v>20</v>
      </c>
      <c r="D254" s="706">
        <f t="shared" ref="D254:E254" si="114">D83</f>
        <v>9.9999999999999995E-7</v>
      </c>
      <c r="E254" s="706">
        <f t="shared" si="114"/>
        <v>-0.2</v>
      </c>
      <c r="F254" s="706" t="str">
        <f t="shared" ref="F254" si="115">F83</f>
        <v>-</v>
      </c>
      <c r="G254" s="706">
        <f>G83</f>
        <v>0.10000050000000001</v>
      </c>
      <c r="I254" s="1322"/>
      <c r="J254" s="706">
        <v>8</v>
      </c>
      <c r="K254" s="706">
        <f>J83</f>
        <v>40</v>
      </c>
      <c r="L254" s="706">
        <f>K83</f>
        <v>-3.8</v>
      </c>
      <c r="M254" s="706">
        <f>L83</f>
        <v>-1.2</v>
      </c>
      <c r="N254" s="706" t="str">
        <f>M83</f>
        <v>-</v>
      </c>
      <c r="O254" s="706">
        <f>N83</f>
        <v>1.2999999999999998</v>
      </c>
      <c r="Q254" s="1322"/>
      <c r="R254" s="706">
        <v>8</v>
      </c>
      <c r="S254" s="706">
        <f>Q83</f>
        <v>800</v>
      </c>
      <c r="T254" s="706">
        <f>R83</f>
        <v>9.9999999999999995E-7</v>
      </c>
      <c r="U254" s="706">
        <f>S83</f>
        <v>9.9999999999999995E-7</v>
      </c>
      <c r="V254" s="706" t="str">
        <f>T83</f>
        <v>-</v>
      </c>
      <c r="W254" s="439">
        <f>U83</f>
        <v>0</v>
      </c>
      <c r="Y254" s="726">
        <v>6</v>
      </c>
      <c r="Z254" s="727">
        <f>X59</f>
        <v>2.6</v>
      </c>
      <c r="AE254" s="529"/>
    </row>
    <row r="255" spans="1:38" hidden="1" x14ac:dyDescent="0.2">
      <c r="A255" s="1322"/>
      <c r="B255" s="706">
        <v>9</v>
      </c>
      <c r="C255" s="706">
        <f>C94</f>
        <v>20</v>
      </c>
      <c r="D255" s="706">
        <f t="shared" ref="D255:E255" si="116">D94</f>
        <v>-0.2</v>
      </c>
      <c r="E255" s="706" t="str">
        <f t="shared" si="116"/>
        <v>-</v>
      </c>
      <c r="F255" s="706" t="str">
        <f t="shared" ref="F255" si="117">F94</f>
        <v>-</v>
      </c>
      <c r="G255" s="706">
        <f>G94</f>
        <v>0</v>
      </c>
      <c r="I255" s="1322"/>
      <c r="J255" s="706">
        <v>9</v>
      </c>
      <c r="K255" s="706">
        <f>J94</f>
        <v>40</v>
      </c>
      <c r="L255" s="706">
        <f>K94</f>
        <v>-1</v>
      </c>
      <c r="M255" s="706" t="str">
        <f>L94</f>
        <v>-</v>
      </c>
      <c r="N255" s="706" t="str">
        <f>M94</f>
        <v>-</v>
      </c>
      <c r="O255" s="706">
        <f>N94</f>
        <v>0</v>
      </c>
      <c r="Q255" s="1322"/>
      <c r="R255" s="706">
        <v>9</v>
      </c>
      <c r="S255" s="706">
        <f>Q94</f>
        <v>800</v>
      </c>
      <c r="T255" s="706">
        <f>R94</f>
        <v>9.9999999999999995E-7</v>
      </c>
      <c r="U255" s="706" t="str">
        <f>S94</f>
        <v>-</v>
      </c>
      <c r="V255" s="706" t="str">
        <f>T94</f>
        <v>-</v>
      </c>
      <c r="W255" s="439">
        <f>U94</f>
        <v>0</v>
      </c>
      <c r="Y255" s="726">
        <v>7</v>
      </c>
      <c r="Z255" s="727">
        <f>X70</f>
        <v>2.4</v>
      </c>
      <c r="AE255" s="529"/>
    </row>
    <row r="256" spans="1:38" hidden="1" x14ac:dyDescent="0.2">
      <c r="A256" s="1322"/>
      <c r="B256" s="706">
        <v>10</v>
      </c>
      <c r="C256" s="706">
        <f>C105</f>
        <v>20</v>
      </c>
      <c r="D256" s="706">
        <f t="shared" ref="D256:E256" si="118">D105</f>
        <v>0.2</v>
      </c>
      <c r="E256" s="706">
        <f t="shared" si="118"/>
        <v>-0.7</v>
      </c>
      <c r="F256" s="706" t="str">
        <f t="shared" ref="F256" si="119">F105</f>
        <v>-</v>
      </c>
      <c r="G256" s="706">
        <f>G105</f>
        <v>0.44999999999999996</v>
      </c>
      <c r="I256" s="1322"/>
      <c r="J256" s="706">
        <v>10</v>
      </c>
      <c r="K256" s="706">
        <f>J105</f>
        <v>40</v>
      </c>
      <c r="L256" s="706">
        <f>K105</f>
        <v>-3.3</v>
      </c>
      <c r="M256" s="706">
        <f>L105</f>
        <v>-6.4</v>
      </c>
      <c r="N256" s="706" t="str">
        <f>M105</f>
        <v>-</v>
      </c>
      <c r="O256" s="706">
        <f>N105</f>
        <v>1.5500000000000003</v>
      </c>
      <c r="Q256" s="1322"/>
      <c r="R256" s="706">
        <v>10</v>
      </c>
      <c r="S256" s="706">
        <f>Q105</f>
        <v>800</v>
      </c>
      <c r="T256" s="706" t="str">
        <f>R105</f>
        <v>-</v>
      </c>
      <c r="U256" s="706" t="str">
        <f>S105</f>
        <v>-</v>
      </c>
      <c r="V256" s="706" t="str">
        <f>T105</f>
        <v>-</v>
      </c>
      <c r="W256" s="439">
        <f>U105</f>
        <v>0</v>
      </c>
      <c r="Y256" s="726">
        <v>8</v>
      </c>
      <c r="Z256" s="727">
        <f>X81</f>
        <v>2.5</v>
      </c>
      <c r="AE256" s="529"/>
    </row>
    <row r="257" spans="1:31" hidden="1" x14ac:dyDescent="0.2">
      <c r="A257" s="1322"/>
      <c r="B257" s="706">
        <v>11</v>
      </c>
      <c r="C257" s="706">
        <f>C116</f>
        <v>20</v>
      </c>
      <c r="D257" s="706">
        <f t="shared" ref="D257:E257" si="120">D116</f>
        <v>0.4</v>
      </c>
      <c r="E257" s="706">
        <f t="shared" si="120"/>
        <v>0.5</v>
      </c>
      <c r="F257" s="706" t="str">
        <f t="shared" ref="F257" si="121">F116</f>
        <v>-</v>
      </c>
      <c r="G257" s="706">
        <f>G116</f>
        <v>4.9999999999999989E-2</v>
      </c>
      <c r="I257" s="1322"/>
      <c r="J257" s="706">
        <v>11</v>
      </c>
      <c r="K257" s="706">
        <f>J116</f>
        <v>40</v>
      </c>
      <c r="L257" s="706">
        <f>K116</f>
        <v>-5.5</v>
      </c>
      <c r="M257" s="706">
        <f>L116</f>
        <v>-5.9</v>
      </c>
      <c r="N257" s="706" t="str">
        <f>M116</f>
        <v>-</v>
      </c>
      <c r="O257" s="706">
        <f>N116</f>
        <v>0.20000000000000018</v>
      </c>
      <c r="Q257" s="1322"/>
      <c r="R257" s="706">
        <v>11</v>
      </c>
      <c r="S257" s="706">
        <f>Q116</f>
        <v>800</v>
      </c>
      <c r="T257" s="706" t="str">
        <f>R116</f>
        <v>-</v>
      </c>
      <c r="U257" s="706" t="str">
        <f>S116</f>
        <v>-</v>
      </c>
      <c r="V257" s="706" t="str">
        <f>T116</f>
        <v>-</v>
      </c>
      <c r="W257" s="439">
        <f>U116</f>
        <v>0</v>
      </c>
      <c r="Y257" s="726">
        <v>9</v>
      </c>
      <c r="Z257" s="727">
        <f>X92</f>
        <v>2.4</v>
      </c>
      <c r="AE257" s="529"/>
    </row>
    <row r="258" spans="1:31" hidden="1" x14ac:dyDescent="0.2">
      <c r="A258" s="1322"/>
      <c r="B258" s="706">
        <v>12</v>
      </c>
      <c r="C258" s="706">
        <f>C127</f>
        <v>20</v>
      </c>
      <c r="D258" s="706">
        <f t="shared" ref="D258:E258" si="122">D127</f>
        <v>9.9999999999999995E-7</v>
      </c>
      <c r="E258" s="706" t="str">
        <f t="shared" si="122"/>
        <v>-</v>
      </c>
      <c r="F258" s="706" t="str">
        <f t="shared" ref="F258" si="123">F127</f>
        <v>-</v>
      </c>
      <c r="G258" s="706">
        <f>G127</f>
        <v>0</v>
      </c>
      <c r="I258" s="1322"/>
      <c r="J258" s="706">
        <v>12</v>
      </c>
      <c r="K258" s="706">
        <f>J127</f>
        <v>40</v>
      </c>
      <c r="L258" s="706">
        <f>K127</f>
        <v>-0.1</v>
      </c>
      <c r="M258" s="706" t="str">
        <f>L127</f>
        <v>-</v>
      </c>
      <c r="N258" s="706" t="str">
        <f>M127</f>
        <v>-</v>
      </c>
      <c r="O258" s="706">
        <f>N127</f>
        <v>0</v>
      </c>
      <c r="Q258" s="1322"/>
      <c r="R258" s="706">
        <v>12</v>
      </c>
      <c r="S258" s="706">
        <f>Q127</f>
        <v>850</v>
      </c>
      <c r="T258" s="706">
        <f>R127</f>
        <v>-0.5</v>
      </c>
      <c r="U258" s="706" t="str">
        <f>S127</f>
        <v>-</v>
      </c>
      <c r="V258" s="706" t="str">
        <f>T127</f>
        <v>-</v>
      </c>
      <c r="W258" s="439">
        <f>U127</f>
        <v>0</v>
      </c>
      <c r="Y258" s="726">
        <v>10</v>
      </c>
      <c r="Z258" s="727">
        <f>X103</f>
        <v>1.5</v>
      </c>
      <c r="AE258" s="529"/>
    </row>
    <row r="259" spans="1:31" hidden="1" x14ac:dyDescent="0.2">
      <c r="A259" s="1322"/>
      <c r="B259" s="706">
        <v>13</v>
      </c>
      <c r="C259" s="706">
        <f>C138</f>
        <v>20</v>
      </c>
      <c r="D259" s="706">
        <f t="shared" ref="D259:E259" si="124">D138</f>
        <v>0.2</v>
      </c>
      <c r="E259" s="706">
        <f t="shared" si="124"/>
        <v>-0.4</v>
      </c>
      <c r="F259" s="706" t="str">
        <f t="shared" ref="F259" si="125">F138</f>
        <v>-</v>
      </c>
      <c r="G259" s="706">
        <f>G138</f>
        <v>0.30000000000000004</v>
      </c>
      <c r="I259" s="1322"/>
      <c r="J259" s="706">
        <v>13</v>
      </c>
      <c r="K259" s="706">
        <f>J138</f>
        <v>40</v>
      </c>
      <c r="L259" s="706">
        <f>K138</f>
        <v>-2</v>
      </c>
      <c r="M259" s="706">
        <f>L138</f>
        <v>-1.3</v>
      </c>
      <c r="N259" s="706" t="str">
        <f>M138</f>
        <v>-</v>
      </c>
      <c r="O259" s="706">
        <f>N138</f>
        <v>0.35</v>
      </c>
      <c r="Q259" s="1322"/>
      <c r="R259" s="706">
        <v>13</v>
      </c>
      <c r="S259" s="706">
        <f>Q138</f>
        <v>990</v>
      </c>
      <c r="T259" s="706">
        <f>R138</f>
        <v>3.8</v>
      </c>
      <c r="U259" s="706">
        <f>S138</f>
        <v>1</v>
      </c>
      <c r="V259" s="706" t="str">
        <f>T138</f>
        <v>-</v>
      </c>
      <c r="W259" s="439">
        <f>U138</f>
        <v>1.4</v>
      </c>
      <c r="Y259" s="726">
        <v>11</v>
      </c>
      <c r="Z259" s="727">
        <f>X114</f>
        <v>1.8</v>
      </c>
      <c r="AE259" s="529"/>
    </row>
    <row r="260" spans="1:31" hidden="1" x14ac:dyDescent="0.2">
      <c r="A260" s="1322"/>
      <c r="B260" s="706">
        <v>14</v>
      </c>
      <c r="C260" s="706">
        <f>C149</f>
        <v>20</v>
      </c>
      <c r="D260" s="706">
        <f t="shared" ref="D260:E260" si="126">D149</f>
        <v>0.2</v>
      </c>
      <c r="E260" s="706">
        <f t="shared" si="126"/>
        <v>-0.1</v>
      </c>
      <c r="F260" s="706" t="str">
        <f t="shared" ref="F260" si="127">F149</f>
        <v>-</v>
      </c>
      <c r="G260" s="706">
        <f>G149</f>
        <v>0.15000000000000002</v>
      </c>
      <c r="I260" s="1322"/>
      <c r="J260" s="706">
        <v>14</v>
      </c>
      <c r="K260" s="706">
        <f>J149</f>
        <v>40</v>
      </c>
      <c r="L260" s="706">
        <f>K149</f>
        <v>-0.4</v>
      </c>
      <c r="M260" s="706">
        <f>L149</f>
        <v>0.3</v>
      </c>
      <c r="N260" s="706" t="str">
        <f>M149</f>
        <v>-</v>
      </c>
      <c r="O260" s="706">
        <f>N149</f>
        <v>0.35</v>
      </c>
      <c r="Q260" s="1322"/>
      <c r="R260" s="706">
        <v>14</v>
      </c>
      <c r="S260" s="706">
        <f>Q149</f>
        <v>990</v>
      </c>
      <c r="T260" s="706">
        <f>R149</f>
        <v>3.9</v>
      </c>
      <c r="U260" s="706">
        <f>S149</f>
        <v>1</v>
      </c>
      <c r="V260" s="706" t="str">
        <f>T149</f>
        <v>-</v>
      </c>
      <c r="W260" s="439">
        <f>U149</f>
        <v>1.45</v>
      </c>
      <c r="Y260" s="726">
        <v>12</v>
      </c>
      <c r="Z260" s="733">
        <f>X125</f>
        <v>2</v>
      </c>
      <c r="AE260" s="529"/>
    </row>
    <row r="261" spans="1:31" hidden="1" x14ac:dyDescent="0.2">
      <c r="A261" s="1322"/>
      <c r="B261" s="706">
        <v>15</v>
      </c>
      <c r="C261" s="706">
        <f>C160</f>
        <v>20</v>
      </c>
      <c r="D261" s="706">
        <f t="shared" ref="D261:E261" si="128">D160</f>
        <v>0.3</v>
      </c>
      <c r="E261" s="706">
        <f t="shared" si="128"/>
        <v>-0.5</v>
      </c>
      <c r="F261" s="706" t="str">
        <f t="shared" ref="F261" si="129">F160</f>
        <v>-</v>
      </c>
      <c r="G261" s="706">
        <f>G160</f>
        <v>0.4</v>
      </c>
      <c r="I261" s="1322"/>
      <c r="J261" s="706">
        <v>15</v>
      </c>
      <c r="K261" s="706">
        <f>J160</f>
        <v>40</v>
      </c>
      <c r="L261" s="706">
        <f>K160</f>
        <v>-1.7</v>
      </c>
      <c r="M261" s="706">
        <f>L160</f>
        <v>-0.3</v>
      </c>
      <c r="N261" s="706" t="str">
        <f>M160</f>
        <v>-</v>
      </c>
      <c r="O261" s="706">
        <f>N160</f>
        <v>0.7</v>
      </c>
      <c r="Q261" s="1322"/>
      <c r="R261" s="706">
        <v>15</v>
      </c>
      <c r="S261" s="706">
        <f>Q160</f>
        <v>990</v>
      </c>
      <c r="T261" s="706">
        <f>R160</f>
        <v>4.2</v>
      </c>
      <c r="U261" s="706">
        <f>S160</f>
        <v>1</v>
      </c>
      <c r="V261" s="706" t="str">
        <f>T160</f>
        <v>-</v>
      </c>
      <c r="W261" s="439">
        <f>U160</f>
        <v>1.6</v>
      </c>
      <c r="Y261" s="726">
        <v>13</v>
      </c>
      <c r="Z261" s="727">
        <f>X136</f>
        <v>2.2999999999999998</v>
      </c>
      <c r="AE261" s="529"/>
    </row>
    <row r="262" spans="1:31" hidden="1" x14ac:dyDescent="0.2">
      <c r="A262" s="1322"/>
      <c r="B262" s="706">
        <v>16</v>
      </c>
      <c r="C262" s="706">
        <f>C171</f>
        <v>20</v>
      </c>
      <c r="D262" s="706">
        <f t="shared" ref="D262:E262" si="130">D171</f>
        <v>0.2</v>
      </c>
      <c r="E262" s="706" t="str">
        <f t="shared" si="130"/>
        <v>-</v>
      </c>
      <c r="F262" s="706" t="str">
        <f t="shared" ref="F262" si="131">F171</f>
        <v>-</v>
      </c>
      <c r="G262" s="706">
        <f>G171</f>
        <v>0</v>
      </c>
      <c r="I262" s="1322"/>
      <c r="J262" s="706">
        <v>16</v>
      </c>
      <c r="K262" s="706">
        <f>J171</f>
        <v>40</v>
      </c>
      <c r="L262" s="706">
        <f>K171</f>
        <v>-1.4</v>
      </c>
      <c r="M262" s="706" t="str">
        <f>L171</f>
        <v>-</v>
      </c>
      <c r="N262" s="706" t="str">
        <f>M171</f>
        <v>-</v>
      </c>
      <c r="O262" s="706">
        <f>N171</f>
        <v>0</v>
      </c>
      <c r="Q262" s="1322"/>
      <c r="R262" s="706">
        <v>16</v>
      </c>
      <c r="S262" s="706">
        <f>Q171</f>
        <v>850</v>
      </c>
      <c r="T262" s="706">
        <f>R171</f>
        <v>-2.2999999999999998</v>
      </c>
      <c r="U262" s="706" t="str">
        <f>S171</f>
        <v>-</v>
      </c>
      <c r="V262" s="706" t="str">
        <f>T171</f>
        <v>-</v>
      </c>
      <c r="W262" s="439">
        <f>U171</f>
        <v>0</v>
      </c>
      <c r="Y262" s="726">
        <v>14</v>
      </c>
      <c r="Z262" s="727">
        <f>X147</f>
        <v>2.7</v>
      </c>
      <c r="AE262" s="529"/>
    </row>
    <row r="263" spans="1:31" hidden="1" x14ac:dyDescent="0.2">
      <c r="A263" s="1322"/>
      <c r="B263" s="706">
        <v>17</v>
      </c>
      <c r="C263" s="706">
        <f>C182</f>
        <v>20</v>
      </c>
      <c r="D263" s="706">
        <f t="shared" ref="D263:E263" si="132">D182</f>
        <v>0.1</v>
      </c>
      <c r="E263" s="706" t="str">
        <f t="shared" si="132"/>
        <v>-</v>
      </c>
      <c r="F263" s="706" t="str">
        <f t="shared" ref="F263" si="133">F182</f>
        <v>-</v>
      </c>
      <c r="G263" s="706">
        <f>G182</f>
        <v>0</v>
      </c>
      <c r="I263" s="1322"/>
      <c r="J263" s="706">
        <v>17</v>
      </c>
      <c r="K263" s="706">
        <f>J182</f>
        <v>40</v>
      </c>
      <c r="L263" s="706">
        <f>K182</f>
        <v>0.2</v>
      </c>
      <c r="M263" s="706" t="str">
        <f>L182</f>
        <v>-</v>
      </c>
      <c r="N263" s="706" t="str">
        <f>M182</f>
        <v>-</v>
      </c>
      <c r="O263" s="706">
        <f>N182</f>
        <v>0</v>
      </c>
      <c r="Q263" s="1322"/>
      <c r="R263" s="706">
        <v>17</v>
      </c>
      <c r="S263" s="706">
        <f>Q182</f>
        <v>970</v>
      </c>
      <c r="T263" s="706">
        <f>R182</f>
        <v>-0.6</v>
      </c>
      <c r="U263" s="706" t="str">
        <f>S182</f>
        <v>-</v>
      </c>
      <c r="V263" s="706" t="str">
        <f>T182</f>
        <v>-</v>
      </c>
      <c r="W263" s="439">
        <f>U182</f>
        <v>0</v>
      </c>
      <c r="Y263" s="726">
        <v>15</v>
      </c>
      <c r="Z263" s="727">
        <f>X158</f>
        <v>2.6</v>
      </c>
      <c r="AE263" s="529"/>
    </row>
    <row r="264" spans="1:31" hidden="1" x14ac:dyDescent="0.2">
      <c r="A264" s="1322"/>
      <c r="B264" s="706">
        <v>18</v>
      </c>
      <c r="C264" s="706">
        <f>C193</f>
        <v>20</v>
      </c>
      <c r="D264" s="706">
        <f t="shared" ref="D264:E264" si="134">D193</f>
        <v>-0.1</v>
      </c>
      <c r="E264" s="706" t="str">
        <f t="shared" si="134"/>
        <v>-</v>
      </c>
      <c r="F264" s="706" t="str">
        <f t="shared" ref="F264" si="135">F193</f>
        <v>-</v>
      </c>
      <c r="G264" s="706">
        <f>G193</f>
        <v>0</v>
      </c>
      <c r="I264" s="1322"/>
      <c r="J264" s="706">
        <v>18</v>
      </c>
      <c r="K264" s="706">
        <f>J193</f>
        <v>40</v>
      </c>
      <c r="L264" s="706">
        <f>K193</f>
        <v>-0.2</v>
      </c>
      <c r="M264" s="706" t="str">
        <f>L193</f>
        <v>-</v>
      </c>
      <c r="N264" s="706" t="str">
        <f>M193</f>
        <v>-</v>
      </c>
      <c r="O264" s="706">
        <f>N193</f>
        <v>0</v>
      </c>
      <c r="Q264" s="1322"/>
      <c r="R264" s="706">
        <v>18</v>
      </c>
      <c r="S264" s="706">
        <f>Q193</f>
        <v>850</v>
      </c>
      <c r="T264" s="706">
        <f>R193</f>
        <v>-1.3</v>
      </c>
      <c r="U264" s="706" t="str">
        <f>S193</f>
        <v>-</v>
      </c>
      <c r="V264" s="706" t="str">
        <f>T193</f>
        <v>-</v>
      </c>
      <c r="W264" s="439">
        <f>U193</f>
        <v>0</v>
      </c>
      <c r="Y264" s="726">
        <v>16</v>
      </c>
      <c r="Z264" s="727">
        <f>X169</f>
        <v>2.2000000000000002</v>
      </c>
      <c r="AE264" s="529"/>
    </row>
    <row r="265" spans="1:31" hidden="1" x14ac:dyDescent="0.2">
      <c r="A265" s="1322"/>
      <c r="B265" s="706">
        <v>19</v>
      </c>
      <c r="C265" s="706">
        <f>C204</f>
        <v>20</v>
      </c>
      <c r="D265" s="706">
        <f t="shared" ref="D265:E265" si="136">D204</f>
        <v>0.1</v>
      </c>
      <c r="E265" s="706" t="str">
        <f t="shared" si="136"/>
        <v>-</v>
      </c>
      <c r="F265" s="706" t="str">
        <f t="shared" ref="F265" si="137">F204</f>
        <v>-</v>
      </c>
      <c r="G265" s="706">
        <f>G204</f>
        <v>0</v>
      </c>
      <c r="I265" s="1322"/>
      <c r="J265" s="706">
        <v>19</v>
      </c>
      <c r="K265" s="706">
        <f>J204</f>
        <v>40</v>
      </c>
      <c r="L265" s="706">
        <f>K204</f>
        <v>-0.8</v>
      </c>
      <c r="M265" s="706" t="str">
        <f>L204</f>
        <v>-</v>
      </c>
      <c r="N265" s="706" t="str">
        <f>M204</f>
        <v>-</v>
      </c>
      <c r="O265" s="706">
        <f>N204</f>
        <v>0</v>
      </c>
      <c r="Q265" s="1322"/>
      <c r="R265" s="706">
        <v>19</v>
      </c>
      <c r="S265" s="706">
        <f>Q204</f>
        <v>800</v>
      </c>
      <c r="T265" s="706">
        <f>R204</f>
        <v>2.5</v>
      </c>
      <c r="U265" s="706" t="str">
        <f>S204</f>
        <v>-</v>
      </c>
      <c r="V265" s="706" t="str">
        <f>T204</f>
        <v>-</v>
      </c>
      <c r="W265" s="439">
        <f>U204</f>
        <v>0</v>
      </c>
      <c r="Y265" s="726">
        <v>17</v>
      </c>
      <c r="Z265" s="727">
        <f>X180</f>
        <v>2.8</v>
      </c>
      <c r="AE265" s="529"/>
    </row>
    <row r="266" spans="1:31" ht="13.5" hidden="1" thickBot="1" x14ac:dyDescent="0.25">
      <c r="A266" s="1322"/>
      <c r="B266" s="706">
        <v>20</v>
      </c>
      <c r="C266" s="706">
        <f>C215</f>
        <v>19.7</v>
      </c>
      <c r="D266" s="706">
        <f t="shared" ref="D266:E266" si="138">D215</f>
        <v>9.9999999999999995E-7</v>
      </c>
      <c r="E266" s="706" t="str">
        <f t="shared" si="138"/>
        <v>-</v>
      </c>
      <c r="F266" s="706" t="str">
        <f t="shared" ref="F266" si="139">F215</f>
        <v>-</v>
      </c>
      <c r="G266" s="706">
        <f>G215</f>
        <v>0</v>
      </c>
      <c r="I266" s="1322"/>
      <c r="J266" s="706">
        <v>20</v>
      </c>
      <c r="K266" s="706">
        <f>J215</f>
        <v>54.3</v>
      </c>
      <c r="L266" s="706">
        <f>K215</f>
        <v>9.9999999999999995E-7</v>
      </c>
      <c r="M266" s="706" t="str">
        <f>L215</f>
        <v>-</v>
      </c>
      <c r="N266" s="706" t="str">
        <f>M215</f>
        <v>-</v>
      </c>
      <c r="O266" s="706">
        <f>N215</f>
        <v>0</v>
      </c>
      <c r="Q266" s="1324"/>
      <c r="R266" s="708">
        <v>20</v>
      </c>
      <c r="S266" s="708">
        <f>Q215</f>
        <v>800</v>
      </c>
      <c r="T266" s="708">
        <f>R215</f>
        <v>9.9999999999999995E-7</v>
      </c>
      <c r="U266" s="708" t="str">
        <f>S215</f>
        <v>-</v>
      </c>
      <c r="V266" s="708" t="str">
        <f>T215</f>
        <v>-</v>
      </c>
      <c r="W266" s="447">
        <f>U215</f>
        <v>0</v>
      </c>
      <c r="Y266" s="726">
        <v>18</v>
      </c>
      <c r="Z266" s="727">
        <f>X191</f>
        <v>1.6</v>
      </c>
      <c r="AE266" s="583"/>
    </row>
    <row r="267" spans="1:31" ht="13.5" hidden="1" thickBot="1" x14ac:dyDescent="0.25">
      <c r="A267" s="455"/>
      <c r="B267" s="455"/>
      <c r="C267" s="455"/>
      <c r="D267" s="455"/>
      <c r="E267" s="455"/>
      <c r="F267" s="570"/>
      <c r="G267" s="455"/>
      <c r="I267" s="455"/>
      <c r="J267" s="455"/>
      <c r="K267" s="455"/>
      <c r="L267" s="455"/>
      <c r="M267" s="455"/>
      <c r="N267" s="570"/>
      <c r="O267" s="455"/>
      <c r="Q267" s="586"/>
      <c r="R267" s="584"/>
      <c r="S267" s="448"/>
      <c r="T267" s="448"/>
      <c r="U267" s="448"/>
      <c r="W267" s="449"/>
      <c r="Y267" s="726">
        <v>19</v>
      </c>
      <c r="Z267" s="730">
        <f>X202</f>
        <v>1.5</v>
      </c>
      <c r="AE267" s="529"/>
    </row>
    <row r="268" spans="1:31" ht="13.5" hidden="1" thickBot="1" x14ac:dyDescent="0.25">
      <c r="A268" s="1322">
        <v>3</v>
      </c>
      <c r="B268" s="706">
        <v>1</v>
      </c>
      <c r="C268" s="706">
        <f>C7</f>
        <v>25</v>
      </c>
      <c r="D268" s="706">
        <f t="shared" ref="D268:E268" si="140">D7</f>
        <v>9.9999999999999995E-7</v>
      </c>
      <c r="E268" s="706">
        <f t="shared" si="140"/>
        <v>0.1</v>
      </c>
      <c r="F268" s="706" t="str">
        <f t="shared" ref="F268" si="141">F7</f>
        <v>-</v>
      </c>
      <c r="G268" s="706">
        <f>G7</f>
        <v>4.9999500000000002E-2</v>
      </c>
      <c r="I268" s="1322">
        <v>3</v>
      </c>
      <c r="J268" s="706">
        <v>1</v>
      </c>
      <c r="K268" s="706">
        <f>J7</f>
        <v>50</v>
      </c>
      <c r="L268" s="706">
        <f>K7</f>
        <v>-5.8</v>
      </c>
      <c r="M268" s="706">
        <f>L7</f>
        <v>-7.2</v>
      </c>
      <c r="N268" s="706" t="str">
        <f>M7</f>
        <v>-</v>
      </c>
      <c r="O268" s="706">
        <f>N7</f>
        <v>0.70000000000000018</v>
      </c>
      <c r="Q268" s="1323">
        <v>3</v>
      </c>
      <c r="R268" s="707">
        <v>1</v>
      </c>
      <c r="S268" s="707">
        <f>Q7</f>
        <v>850</v>
      </c>
      <c r="T268" s="707" t="str">
        <f>R7</f>
        <v>-</v>
      </c>
      <c r="U268" s="707" t="str">
        <f>S7</f>
        <v>-</v>
      </c>
      <c r="V268" s="707" t="str">
        <f>T7</f>
        <v>-</v>
      </c>
      <c r="W268" s="450">
        <f>U7</f>
        <v>0</v>
      </c>
      <c r="Y268" s="731">
        <v>20</v>
      </c>
      <c r="Z268" s="732">
        <f>X213</f>
        <v>0</v>
      </c>
      <c r="AE268" s="585"/>
    </row>
    <row r="269" spans="1:31" hidden="1" x14ac:dyDescent="0.2">
      <c r="A269" s="1322"/>
      <c r="B269" s="706">
        <v>2</v>
      </c>
      <c r="C269" s="706">
        <f>C18</f>
        <v>25</v>
      </c>
      <c r="D269" s="706">
        <f t="shared" ref="D269:E269" si="142">D18</f>
        <v>0.5</v>
      </c>
      <c r="E269" s="706">
        <f t="shared" si="142"/>
        <v>-0.2</v>
      </c>
      <c r="F269" s="706" t="str">
        <f t="shared" ref="F269" si="143">F18</f>
        <v>-</v>
      </c>
      <c r="G269" s="706">
        <f>G18</f>
        <v>0.35</v>
      </c>
      <c r="I269" s="1322"/>
      <c r="J269" s="706">
        <v>2</v>
      </c>
      <c r="K269" s="706">
        <f>J18</f>
        <v>50</v>
      </c>
      <c r="L269" s="706">
        <f>K18</f>
        <v>-5.3</v>
      </c>
      <c r="M269" s="706">
        <f>L18</f>
        <v>-1.5</v>
      </c>
      <c r="N269" s="706" t="str">
        <f>M18</f>
        <v>-</v>
      </c>
      <c r="O269" s="706">
        <f>N18</f>
        <v>1.9</v>
      </c>
      <c r="Q269" s="1322"/>
      <c r="R269" s="706">
        <v>2</v>
      </c>
      <c r="S269" s="706">
        <f>Q18</f>
        <v>850</v>
      </c>
      <c r="T269" s="706" t="str">
        <f>R18</f>
        <v>-</v>
      </c>
      <c r="U269" s="706" t="str">
        <f>S18</f>
        <v>-</v>
      </c>
      <c r="V269" s="706" t="str">
        <f>T18</f>
        <v>-</v>
      </c>
      <c r="W269" s="439">
        <f>U18</f>
        <v>0</v>
      </c>
      <c r="AE269" s="529"/>
    </row>
    <row r="270" spans="1:31" ht="13.5" hidden="1" thickBot="1" x14ac:dyDescent="0.25">
      <c r="A270" s="1322"/>
      <c r="B270" s="706">
        <v>3</v>
      </c>
      <c r="C270" s="706">
        <f>C29</f>
        <v>25</v>
      </c>
      <c r="D270" s="706">
        <f t="shared" ref="D270:E270" si="144">D29</f>
        <v>0.7</v>
      </c>
      <c r="E270" s="706">
        <f t="shared" si="144"/>
        <v>-0.1</v>
      </c>
      <c r="F270" s="706" t="str">
        <f t="shared" ref="F270" si="145">F29</f>
        <v>-</v>
      </c>
      <c r="G270" s="706">
        <f>G29</f>
        <v>0.39999999999999997</v>
      </c>
      <c r="I270" s="1322"/>
      <c r="J270" s="706">
        <v>3</v>
      </c>
      <c r="K270" s="706">
        <f>J29</f>
        <v>50</v>
      </c>
      <c r="L270" s="706">
        <f>K29</f>
        <v>-4.5</v>
      </c>
      <c r="M270" s="706">
        <f>L29</f>
        <v>-4.9000000000000004</v>
      </c>
      <c r="N270" s="706" t="str">
        <f>M29</f>
        <v>-</v>
      </c>
      <c r="O270" s="706">
        <f>N29</f>
        <v>0.20000000000000018</v>
      </c>
      <c r="Q270" s="1322"/>
      <c r="R270" s="706">
        <v>3</v>
      </c>
      <c r="S270" s="706">
        <f>Q29</f>
        <v>850</v>
      </c>
      <c r="T270" s="706" t="str">
        <f>R29</f>
        <v>-</v>
      </c>
      <c r="U270" s="706" t="str">
        <f>S29</f>
        <v>-</v>
      </c>
      <c r="V270" s="706" t="str">
        <f>T29</f>
        <v>-</v>
      </c>
      <c r="W270" s="439">
        <f>U29</f>
        <v>0</v>
      </c>
      <c r="AE270" s="529"/>
    </row>
    <row r="271" spans="1:31" hidden="1" x14ac:dyDescent="0.2">
      <c r="A271" s="1322"/>
      <c r="B271" s="706">
        <v>4</v>
      </c>
      <c r="C271" s="706">
        <f>C40</f>
        <v>25</v>
      </c>
      <c r="D271" s="706">
        <f t="shared" ref="D271:E271" si="146">D40</f>
        <v>-0.1</v>
      </c>
      <c r="E271" s="706">
        <f t="shared" si="146"/>
        <v>-0.5</v>
      </c>
      <c r="F271" s="706" t="str">
        <f t="shared" ref="F271" si="147">F40</f>
        <v>-</v>
      </c>
      <c r="G271" s="706">
        <f>G40</f>
        <v>0.2</v>
      </c>
      <c r="I271" s="1322"/>
      <c r="J271" s="706">
        <v>4</v>
      </c>
      <c r="K271" s="706">
        <f>J40</f>
        <v>50</v>
      </c>
      <c r="L271" s="706">
        <f>K40</f>
        <v>-4.3</v>
      </c>
      <c r="M271" s="706">
        <f>L40</f>
        <v>-1</v>
      </c>
      <c r="N271" s="706" t="str">
        <f>M40</f>
        <v>-</v>
      </c>
      <c r="O271" s="706">
        <f>N40</f>
        <v>1.65</v>
      </c>
      <c r="Q271" s="1322"/>
      <c r="R271" s="706">
        <v>4</v>
      </c>
      <c r="S271" s="706">
        <f>Q40</f>
        <v>850</v>
      </c>
      <c r="T271" s="706" t="str">
        <f>R40</f>
        <v>-</v>
      </c>
      <c r="U271" s="706" t="str">
        <f>S40</f>
        <v>-</v>
      </c>
      <c r="V271" s="706" t="str">
        <f>T40</f>
        <v>-</v>
      </c>
      <c r="W271" s="439">
        <f>U40</f>
        <v>0</v>
      </c>
      <c r="Y271" s="1328" t="s">
        <v>284</v>
      </c>
      <c r="Z271" s="1329"/>
      <c r="AE271" s="529"/>
    </row>
    <row r="272" spans="1:31" hidden="1" x14ac:dyDescent="0.2">
      <c r="A272" s="1322"/>
      <c r="B272" s="706">
        <v>5</v>
      </c>
      <c r="C272" s="706">
        <f>C51</f>
        <v>25</v>
      </c>
      <c r="D272" s="706">
        <f t="shared" ref="D272:E272" si="148">D51</f>
        <v>0.4</v>
      </c>
      <c r="E272" s="706">
        <f t="shared" si="148"/>
        <v>0.2</v>
      </c>
      <c r="F272" s="706" t="str">
        <f t="shared" ref="F272" si="149">F51</f>
        <v>-</v>
      </c>
      <c r="G272" s="706">
        <f>G51</f>
        <v>0.1</v>
      </c>
      <c r="I272" s="1322"/>
      <c r="J272" s="706">
        <v>5</v>
      </c>
      <c r="K272" s="706">
        <f>J51</f>
        <v>50</v>
      </c>
      <c r="L272" s="706">
        <f>K51</f>
        <v>-6.2</v>
      </c>
      <c r="M272" s="706">
        <f>L51</f>
        <v>-6.2</v>
      </c>
      <c r="N272" s="706" t="str">
        <f>M51</f>
        <v>-</v>
      </c>
      <c r="O272" s="706">
        <f>N51</f>
        <v>0</v>
      </c>
      <c r="Q272" s="1322"/>
      <c r="R272" s="706">
        <v>5</v>
      </c>
      <c r="S272" s="706">
        <f>Q51</f>
        <v>850</v>
      </c>
      <c r="T272" s="706" t="str">
        <f>R51</f>
        <v>-</v>
      </c>
      <c r="U272" s="706" t="str">
        <f>S51</f>
        <v>-</v>
      </c>
      <c r="V272" s="706" t="str">
        <f>T51</f>
        <v>-</v>
      </c>
      <c r="W272" s="439">
        <f>U51</f>
        <v>0</v>
      </c>
      <c r="Y272" s="1330" t="s">
        <v>289</v>
      </c>
      <c r="Z272" s="1331"/>
      <c r="AE272" s="529"/>
    </row>
    <row r="273" spans="1:31" hidden="1" x14ac:dyDescent="0.2">
      <c r="A273" s="1322"/>
      <c r="B273" s="706">
        <v>6</v>
      </c>
      <c r="C273" s="706">
        <f>C62</f>
        <v>25</v>
      </c>
      <c r="D273" s="706">
        <f t="shared" ref="D273:E273" si="150">D62</f>
        <v>0.2</v>
      </c>
      <c r="E273" s="706">
        <f t="shared" si="150"/>
        <v>-0.1</v>
      </c>
      <c r="F273" s="706" t="str">
        <f t="shared" ref="F273" si="151">F62</f>
        <v>-</v>
      </c>
      <c r="G273" s="706">
        <f>G62</f>
        <v>0.15000000000000002</v>
      </c>
      <c r="I273" s="1322"/>
      <c r="J273" s="706">
        <v>6</v>
      </c>
      <c r="K273" s="706">
        <f>J62</f>
        <v>50</v>
      </c>
      <c r="L273" s="706">
        <f>K62</f>
        <v>-5.4</v>
      </c>
      <c r="M273" s="706">
        <f>L62</f>
        <v>1.2</v>
      </c>
      <c r="N273" s="706" t="str">
        <f>M62</f>
        <v>-</v>
      </c>
      <c r="O273" s="706">
        <f>N62</f>
        <v>3.3000000000000003</v>
      </c>
      <c r="Q273" s="1322"/>
      <c r="R273" s="706">
        <v>6</v>
      </c>
      <c r="S273" s="706">
        <f>Q62</f>
        <v>850</v>
      </c>
      <c r="T273" s="706">
        <f>R62</f>
        <v>0.9</v>
      </c>
      <c r="U273" s="706">
        <f>S62</f>
        <v>1.1000000000000001</v>
      </c>
      <c r="V273" s="706" t="str">
        <f>T62</f>
        <v>-</v>
      </c>
      <c r="W273" s="439">
        <f>U62</f>
        <v>0.10000000000000003</v>
      </c>
      <c r="Y273" s="726">
        <v>1</v>
      </c>
      <c r="Z273" s="727">
        <f>X5</f>
        <v>0</v>
      </c>
      <c r="AE273" s="529"/>
    </row>
    <row r="274" spans="1:31" hidden="1" x14ac:dyDescent="0.2">
      <c r="A274" s="1322"/>
      <c r="B274" s="706">
        <v>7</v>
      </c>
      <c r="C274" s="706">
        <f>C73</f>
        <v>25</v>
      </c>
      <c r="D274" s="706">
        <f t="shared" ref="D274:E274" si="152">D73</f>
        <v>9.9999999999999995E-7</v>
      </c>
      <c r="E274" s="706">
        <f t="shared" si="152"/>
        <v>-0.2</v>
      </c>
      <c r="F274" s="706" t="str">
        <f t="shared" ref="F274" si="153">F73</f>
        <v>-</v>
      </c>
      <c r="G274" s="706">
        <f>G73</f>
        <v>0.10000050000000001</v>
      </c>
      <c r="I274" s="1322"/>
      <c r="J274" s="706">
        <v>7</v>
      </c>
      <c r="K274" s="706">
        <f>J73</f>
        <v>50</v>
      </c>
      <c r="L274" s="706">
        <f>K73</f>
        <v>-1.9</v>
      </c>
      <c r="M274" s="706">
        <f>L73</f>
        <v>0.8</v>
      </c>
      <c r="N274" s="706" t="str">
        <f>M73</f>
        <v>-</v>
      </c>
      <c r="O274" s="706">
        <f>N73</f>
        <v>1.35</v>
      </c>
      <c r="Q274" s="1322"/>
      <c r="R274" s="706">
        <v>7</v>
      </c>
      <c r="S274" s="706">
        <f>Q73</f>
        <v>850</v>
      </c>
      <c r="T274" s="706">
        <f>R73</f>
        <v>9.9999999999999995E-7</v>
      </c>
      <c r="U274" s="706">
        <f>S73</f>
        <v>1.7</v>
      </c>
      <c r="V274" s="706" t="str">
        <f>T73</f>
        <v>-</v>
      </c>
      <c r="W274" s="439">
        <f>U73</f>
        <v>0.84999950000000002</v>
      </c>
      <c r="Y274" s="728">
        <v>2</v>
      </c>
      <c r="Z274" s="727">
        <f>X16</f>
        <v>0</v>
      </c>
      <c r="AE274" s="529"/>
    </row>
    <row r="275" spans="1:31" hidden="1" x14ac:dyDescent="0.2">
      <c r="A275" s="1322"/>
      <c r="B275" s="706">
        <v>8</v>
      </c>
      <c r="C275" s="706">
        <f>C84</f>
        <v>25</v>
      </c>
      <c r="D275" s="706">
        <f t="shared" ref="D275:E275" si="154">D84</f>
        <v>-0.1</v>
      </c>
      <c r="E275" s="706">
        <f t="shared" si="154"/>
        <v>-0.4</v>
      </c>
      <c r="F275" s="706" t="str">
        <f t="shared" ref="F275" si="155">F84</f>
        <v>-</v>
      </c>
      <c r="G275" s="706">
        <f>G84</f>
        <v>0.15000000000000002</v>
      </c>
      <c r="I275" s="1322"/>
      <c r="J275" s="706">
        <v>8</v>
      </c>
      <c r="K275" s="706">
        <f>J84</f>
        <v>50</v>
      </c>
      <c r="L275" s="706">
        <f>K84</f>
        <v>-3.8</v>
      </c>
      <c r="M275" s="706">
        <f>L84</f>
        <v>-1.2</v>
      </c>
      <c r="N275" s="706" t="str">
        <f>M84</f>
        <v>-</v>
      </c>
      <c r="O275" s="706">
        <f>N84</f>
        <v>1.2999999999999998</v>
      </c>
      <c r="Q275" s="1322"/>
      <c r="R275" s="706">
        <v>8</v>
      </c>
      <c r="S275" s="706">
        <f>Q84</f>
        <v>850</v>
      </c>
      <c r="T275" s="706">
        <f>R84</f>
        <v>9.9999999999999995E-7</v>
      </c>
      <c r="U275" s="706">
        <f>S84</f>
        <v>9.9999999999999995E-7</v>
      </c>
      <c r="V275" s="706" t="str">
        <f>T84</f>
        <v>-</v>
      </c>
      <c r="W275" s="439">
        <f>U84</f>
        <v>0</v>
      </c>
      <c r="Y275" s="728">
        <v>3</v>
      </c>
      <c r="Z275" s="729">
        <f>X27</f>
        <v>0</v>
      </c>
      <c r="AE275" s="529"/>
    </row>
    <row r="276" spans="1:31" hidden="1" x14ac:dyDescent="0.2">
      <c r="A276" s="1322"/>
      <c r="B276" s="706">
        <v>9</v>
      </c>
      <c r="C276" s="706">
        <f>C95</f>
        <v>25</v>
      </c>
      <c r="D276" s="706">
        <f t="shared" ref="D276:E276" si="156">D95</f>
        <v>-0.4</v>
      </c>
      <c r="E276" s="706" t="str">
        <f t="shared" si="156"/>
        <v>-</v>
      </c>
      <c r="F276" s="706" t="str">
        <f t="shared" ref="F276" si="157">F95</f>
        <v>-</v>
      </c>
      <c r="G276" s="706">
        <f>G95</f>
        <v>0</v>
      </c>
      <c r="I276" s="1322"/>
      <c r="J276" s="706">
        <v>9</v>
      </c>
      <c r="K276" s="706">
        <f>J95</f>
        <v>50</v>
      </c>
      <c r="L276" s="706">
        <f>K95</f>
        <v>-0.9</v>
      </c>
      <c r="M276" s="706" t="str">
        <f>L95</f>
        <v>-</v>
      </c>
      <c r="N276" s="706" t="str">
        <f>M95</f>
        <v>-</v>
      </c>
      <c r="O276" s="706">
        <f>N95</f>
        <v>0</v>
      </c>
      <c r="Q276" s="1322"/>
      <c r="R276" s="706">
        <v>9</v>
      </c>
      <c r="S276" s="706">
        <f>Q95</f>
        <v>850</v>
      </c>
      <c r="T276" s="706">
        <f>R95</f>
        <v>9.9999999999999995E-7</v>
      </c>
      <c r="U276" s="706" t="str">
        <f>S95</f>
        <v>-</v>
      </c>
      <c r="V276" s="706" t="str">
        <f>T95</f>
        <v>-</v>
      </c>
      <c r="W276" s="439">
        <f>U95</f>
        <v>0</v>
      </c>
      <c r="Y276" s="728">
        <v>4</v>
      </c>
      <c r="Z276" s="729">
        <f>X38</f>
        <v>0</v>
      </c>
      <c r="AE276" s="529"/>
    </row>
    <row r="277" spans="1:31" hidden="1" x14ac:dyDescent="0.2">
      <c r="A277" s="1322"/>
      <c r="B277" s="706">
        <v>10</v>
      </c>
      <c r="C277" s="706">
        <f>C106</f>
        <v>25</v>
      </c>
      <c r="D277" s="706">
        <f t="shared" ref="D277:E277" si="158">D106</f>
        <v>0.1</v>
      </c>
      <c r="E277" s="706">
        <f t="shared" si="158"/>
        <v>-0.5</v>
      </c>
      <c r="F277" s="706" t="str">
        <f t="shared" ref="F277" si="159">F106</f>
        <v>-</v>
      </c>
      <c r="G277" s="706">
        <f>G106</f>
        <v>0.3</v>
      </c>
      <c r="I277" s="1322"/>
      <c r="J277" s="706">
        <v>10</v>
      </c>
      <c r="K277" s="706">
        <f>J106</f>
        <v>50</v>
      </c>
      <c r="L277" s="706">
        <f>K106</f>
        <v>-3.1</v>
      </c>
      <c r="M277" s="706">
        <f>L106</f>
        <v>-6.1</v>
      </c>
      <c r="N277" s="706" t="str">
        <f>M106</f>
        <v>-</v>
      </c>
      <c r="O277" s="706">
        <f>N106</f>
        <v>1.4999999999999998</v>
      </c>
      <c r="Q277" s="1322"/>
      <c r="R277" s="706">
        <v>10</v>
      </c>
      <c r="S277" s="706">
        <f>Q106</f>
        <v>850</v>
      </c>
      <c r="T277" s="706" t="str">
        <f>R106</f>
        <v>-</v>
      </c>
      <c r="U277" s="706" t="str">
        <f>S106</f>
        <v>-</v>
      </c>
      <c r="V277" s="706" t="str">
        <f>T106</f>
        <v>-</v>
      </c>
      <c r="W277" s="439">
        <f>U106</f>
        <v>0</v>
      </c>
      <c r="Y277" s="728">
        <v>5</v>
      </c>
      <c r="Z277" s="729">
        <f>X49</f>
        <v>0</v>
      </c>
      <c r="AE277" s="529"/>
    </row>
    <row r="278" spans="1:31" hidden="1" x14ac:dyDescent="0.2">
      <c r="A278" s="1322"/>
      <c r="B278" s="706">
        <v>11</v>
      </c>
      <c r="C278" s="706">
        <f>C117</f>
        <v>25</v>
      </c>
      <c r="D278" s="706">
        <f t="shared" ref="D278:E278" si="160">D117</f>
        <v>0.4</v>
      </c>
      <c r="E278" s="706">
        <f t="shared" si="160"/>
        <v>0.5</v>
      </c>
      <c r="F278" s="706" t="str">
        <f t="shared" ref="F278" si="161">F117</f>
        <v>-</v>
      </c>
      <c r="G278" s="706">
        <f>G117</f>
        <v>4.9999999999999989E-2</v>
      </c>
      <c r="I278" s="1322"/>
      <c r="J278" s="706">
        <v>11</v>
      </c>
      <c r="K278" s="706">
        <f>J117</f>
        <v>50</v>
      </c>
      <c r="L278" s="706">
        <f>K117</f>
        <v>-5.5</v>
      </c>
      <c r="M278" s="706">
        <f>L117</f>
        <v>-5.6</v>
      </c>
      <c r="N278" s="706" t="str">
        <f>M117</f>
        <v>-</v>
      </c>
      <c r="O278" s="706">
        <f>N117</f>
        <v>4.9999999999999822E-2</v>
      </c>
      <c r="Q278" s="1322"/>
      <c r="R278" s="706">
        <v>11</v>
      </c>
      <c r="S278" s="706">
        <f>Q117</f>
        <v>850</v>
      </c>
      <c r="T278" s="706" t="str">
        <f>R117</f>
        <v>-</v>
      </c>
      <c r="U278" s="706" t="str">
        <f>S117</f>
        <v>-</v>
      </c>
      <c r="V278" s="706" t="str">
        <f>T117</f>
        <v>-</v>
      </c>
      <c r="W278" s="439">
        <f>U117</f>
        <v>0</v>
      </c>
      <c r="Y278" s="726">
        <v>6</v>
      </c>
      <c r="Z278" s="727">
        <f>X60</f>
        <v>1.6</v>
      </c>
      <c r="AE278" s="529"/>
    </row>
    <row r="279" spans="1:31" hidden="1" x14ac:dyDescent="0.2">
      <c r="A279" s="1322"/>
      <c r="B279" s="706">
        <v>12</v>
      </c>
      <c r="C279" s="706">
        <f>C128</f>
        <v>25</v>
      </c>
      <c r="D279" s="706">
        <f t="shared" ref="D279:E279" si="162">D128</f>
        <v>9.9999999999999995E-7</v>
      </c>
      <c r="E279" s="706" t="str">
        <f t="shared" si="162"/>
        <v>-</v>
      </c>
      <c r="F279" s="706" t="str">
        <f t="shared" ref="F279" si="163">F128</f>
        <v>-</v>
      </c>
      <c r="G279" s="706">
        <f>G128</f>
        <v>0</v>
      </c>
      <c r="I279" s="1322"/>
      <c r="J279" s="706">
        <v>12</v>
      </c>
      <c r="K279" s="706">
        <f>J128</f>
        <v>50</v>
      </c>
      <c r="L279" s="706">
        <f>K128</f>
        <v>9.9999999999999995E-7</v>
      </c>
      <c r="M279" s="706" t="str">
        <f>L128</f>
        <v>-</v>
      </c>
      <c r="N279" s="706" t="str">
        <f>M128</f>
        <v>-</v>
      </c>
      <c r="O279" s="706">
        <f>N128</f>
        <v>0</v>
      </c>
      <c r="Q279" s="1322"/>
      <c r="R279" s="706">
        <v>12</v>
      </c>
      <c r="S279" s="706">
        <f>Q128</f>
        <v>900</v>
      </c>
      <c r="T279" s="706">
        <f>R128</f>
        <v>-0.6</v>
      </c>
      <c r="U279" s="706" t="str">
        <f>S128</f>
        <v>-</v>
      </c>
      <c r="V279" s="706" t="str">
        <f>T128</f>
        <v>-</v>
      </c>
      <c r="W279" s="439">
        <f>U128</f>
        <v>0</v>
      </c>
      <c r="Y279" s="726">
        <v>7</v>
      </c>
      <c r="Z279" s="727">
        <f>X71</f>
        <v>2.4</v>
      </c>
      <c r="AE279" s="529"/>
    </row>
    <row r="280" spans="1:31" hidden="1" x14ac:dyDescent="0.2">
      <c r="A280" s="1322"/>
      <c r="B280" s="706">
        <v>13</v>
      </c>
      <c r="C280" s="706">
        <f>C139</f>
        <v>25</v>
      </c>
      <c r="D280" s="706">
        <f t="shared" ref="D280:E280" si="164">D139</f>
        <v>0.1</v>
      </c>
      <c r="E280" s="706">
        <f t="shared" si="164"/>
        <v>-0.2</v>
      </c>
      <c r="F280" s="706" t="str">
        <f t="shared" ref="F280" si="165">F139</f>
        <v>-</v>
      </c>
      <c r="G280" s="706">
        <f>G139</f>
        <v>0.15000000000000002</v>
      </c>
      <c r="I280" s="1322"/>
      <c r="J280" s="706">
        <v>13</v>
      </c>
      <c r="K280" s="706">
        <f>J139</f>
        <v>50</v>
      </c>
      <c r="L280" s="706">
        <f>K139</f>
        <v>-1.8</v>
      </c>
      <c r="M280" s="706">
        <f>L139</f>
        <v>-1.3</v>
      </c>
      <c r="N280" s="706" t="str">
        <f>M139</f>
        <v>-</v>
      </c>
      <c r="O280" s="706">
        <f>N139</f>
        <v>0.25</v>
      </c>
      <c r="Q280" s="1322"/>
      <c r="R280" s="706">
        <v>13</v>
      </c>
      <c r="S280" s="706">
        <f>Q139</f>
        <v>995</v>
      </c>
      <c r="T280" s="706">
        <f>R139</f>
        <v>3.7</v>
      </c>
      <c r="U280" s="706">
        <f>S139</f>
        <v>1</v>
      </c>
      <c r="V280" s="706" t="str">
        <f>T139</f>
        <v>-</v>
      </c>
      <c r="W280" s="439">
        <f>U139</f>
        <v>1.35</v>
      </c>
      <c r="Y280" s="726">
        <v>8</v>
      </c>
      <c r="Z280" s="727">
        <f>X82</f>
        <v>2.1</v>
      </c>
      <c r="AE280" s="529"/>
    </row>
    <row r="281" spans="1:31" hidden="1" x14ac:dyDescent="0.2">
      <c r="A281" s="1322"/>
      <c r="B281" s="706">
        <v>14</v>
      </c>
      <c r="C281" s="706">
        <f>C150</f>
        <v>25</v>
      </c>
      <c r="D281" s="706">
        <f t="shared" ref="D281:E281" si="166">D150</f>
        <v>-0.1</v>
      </c>
      <c r="E281" s="706">
        <f t="shared" si="166"/>
        <v>-0.1</v>
      </c>
      <c r="F281" s="706" t="str">
        <f t="shared" ref="F281" si="167">F150</f>
        <v>-</v>
      </c>
      <c r="G281" s="706">
        <f>G150</f>
        <v>0</v>
      </c>
      <c r="I281" s="1322"/>
      <c r="J281" s="706">
        <v>14</v>
      </c>
      <c r="K281" s="706">
        <f>J151</f>
        <v>60</v>
      </c>
      <c r="L281" s="706">
        <f>K151</f>
        <v>0.3</v>
      </c>
      <c r="M281" s="706">
        <f>L151</f>
        <v>-0.6</v>
      </c>
      <c r="N281" s="706" t="str">
        <f>M151</f>
        <v>-</v>
      </c>
      <c r="O281" s="706">
        <f>N151</f>
        <v>0.44999999999999996</v>
      </c>
      <c r="Q281" s="1322"/>
      <c r="R281" s="706">
        <v>14</v>
      </c>
      <c r="S281" s="706">
        <f>Q150</f>
        <v>995</v>
      </c>
      <c r="T281" s="706">
        <f>R150</f>
        <v>3.8</v>
      </c>
      <c r="U281" s="706">
        <f>S150</f>
        <v>1</v>
      </c>
      <c r="V281" s="706" t="str">
        <f>T150</f>
        <v>-</v>
      </c>
      <c r="W281" s="439">
        <f>U150</f>
        <v>1.4</v>
      </c>
      <c r="Y281" s="726">
        <v>9</v>
      </c>
      <c r="Z281" s="727">
        <f>X93</f>
        <v>2.2000000000000002</v>
      </c>
      <c r="AE281" s="529"/>
    </row>
    <row r="282" spans="1:31" hidden="1" x14ac:dyDescent="0.2">
      <c r="A282" s="1322"/>
      <c r="B282" s="706">
        <v>15</v>
      </c>
      <c r="C282" s="706">
        <f>C161</f>
        <v>25</v>
      </c>
      <c r="D282" s="706">
        <f t="shared" ref="D282:E282" si="168">D161</f>
        <v>0.2</v>
      </c>
      <c r="E282" s="706">
        <f t="shared" si="168"/>
        <v>-0.4</v>
      </c>
      <c r="F282" s="706" t="str">
        <f t="shared" ref="F282" si="169">F161</f>
        <v>-</v>
      </c>
      <c r="G282" s="706">
        <f>G161</f>
        <v>0.30000000000000004</v>
      </c>
      <c r="I282" s="1322"/>
      <c r="J282" s="706">
        <v>15</v>
      </c>
      <c r="K282" s="706">
        <f>J161</f>
        <v>50</v>
      </c>
      <c r="L282" s="706">
        <f>K161</f>
        <v>-1.4</v>
      </c>
      <c r="M282" s="706">
        <f>L161</f>
        <v>-0.3</v>
      </c>
      <c r="N282" s="706" t="str">
        <f>M161</f>
        <v>-</v>
      </c>
      <c r="O282" s="706">
        <f>N161</f>
        <v>0.54999999999999993</v>
      </c>
      <c r="Q282" s="1322"/>
      <c r="R282" s="706">
        <v>15</v>
      </c>
      <c r="S282" s="706">
        <f>Q161</f>
        <v>995</v>
      </c>
      <c r="T282" s="706">
        <f>R161</f>
        <v>4.0999999999999996</v>
      </c>
      <c r="U282" s="706">
        <f>S161</f>
        <v>1</v>
      </c>
      <c r="V282" s="706" t="str">
        <f>T161</f>
        <v>-</v>
      </c>
      <c r="W282" s="439">
        <f>U161</f>
        <v>1.5499999999999998</v>
      </c>
      <c r="Y282" s="726">
        <v>10</v>
      </c>
      <c r="Z282" s="727">
        <f>X104</f>
        <v>0</v>
      </c>
      <c r="AE282" s="529"/>
    </row>
    <row r="283" spans="1:31" hidden="1" x14ac:dyDescent="0.2">
      <c r="A283" s="1322"/>
      <c r="B283" s="706">
        <v>16</v>
      </c>
      <c r="C283" s="706">
        <f>C172</f>
        <v>25</v>
      </c>
      <c r="D283" s="706">
        <f t="shared" ref="D283:E283" si="170">D172</f>
        <v>0.2</v>
      </c>
      <c r="E283" s="706" t="str">
        <f t="shared" si="170"/>
        <v>-</v>
      </c>
      <c r="F283" s="706" t="str">
        <f t="shared" ref="F283" si="171">F172</f>
        <v>-</v>
      </c>
      <c r="G283" s="706">
        <f>G172</f>
        <v>0</v>
      </c>
      <c r="I283" s="1322"/>
      <c r="J283" s="706">
        <v>16</v>
      </c>
      <c r="K283" s="706">
        <f>J172</f>
        <v>50</v>
      </c>
      <c r="L283" s="706">
        <f>K172</f>
        <v>-1.4</v>
      </c>
      <c r="M283" s="706" t="str">
        <f>L172</f>
        <v>-</v>
      </c>
      <c r="N283" s="706" t="str">
        <f>M172</f>
        <v>-</v>
      </c>
      <c r="O283" s="706">
        <f>N172</f>
        <v>0</v>
      </c>
      <c r="Q283" s="1322"/>
      <c r="R283" s="706">
        <v>16</v>
      </c>
      <c r="S283" s="706">
        <f>Q172</f>
        <v>900</v>
      </c>
      <c r="T283" s="706">
        <f>R172</f>
        <v>-1.7</v>
      </c>
      <c r="U283" s="706" t="str">
        <f>S172</f>
        <v>-</v>
      </c>
      <c r="V283" s="706" t="str">
        <f>T172</f>
        <v>-</v>
      </c>
      <c r="W283" s="439">
        <f>U172</f>
        <v>0</v>
      </c>
      <c r="Y283" s="726">
        <v>11</v>
      </c>
      <c r="Z283" s="727">
        <f>X115</f>
        <v>0</v>
      </c>
      <c r="AE283" s="529"/>
    </row>
    <row r="284" spans="1:31" hidden="1" x14ac:dyDescent="0.2">
      <c r="A284" s="1322"/>
      <c r="B284" s="706">
        <v>17</v>
      </c>
      <c r="C284" s="706">
        <f>C183</f>
        <v>25</v>
      </c>
      <c r="D284" s="706">
        <f t="shared" ref="D284:E284" si="172">D183</f>
        <v>9.9999999999999995E-7</v>
      </c>
      <c r="E284" s="706" t="str">
        <f t="shared" si="172"/>
        <v>-</v>
      </c>
      <c r="F284" s="706" t="str">
        <f t="shared" ref="F284" si="173">F183</f>
        <v>-</v>
      </c>
      <c r="G284" s="706">
        <f>G183</f>
        <v>0</v>
      </c>
      <c r="I284" s="1322"/>
      <c r="J284" s="706">
        <v>17</v>
      </c>
      <c r="K284" s="706">
        <f>J183</f>
        <v>50</v>
      </c>
      <c r="L284" s="706">
        <f>K183</f>
        <v>0.2</v>
      </c>
      <c r="M284" s="706" t="str">
        <f>L183</f>
        <v>-</v>
      </c>
      <c r="N284" s="706" t="str">
        <f>M183</f>
        <v>-</v>
      </c>
      <c r="O284" s="706">
        <f>N183</f>
        <v>0</v>
      </c>
      <c r="Q284" s="1322"/>
      <c r="R284" s="706">
        <v>17</v>
      </c>
      <c r="S284" s="706">
        <f>Q183</f>
        <v>980</v>
      </c>
      <c r="T284" s="706">
        <f>R183</f>
        <v>-0.6</v>
      </c>
      <c r="U284" s="706" t="str">
        <f>S183</f>
        <v>-</v>
      </c>
      <c r="V284" s="706" t="str">
        <f>T183</f>
        <v>-</v>
      </c>
      <c r="W284" s="439">
        <f>U183</f>
        <v>0</v>
      </c>
      <c r="Y284" s="726">
        <v>12</v>
      </c>
      <c r="Z284" s="733">
        <f>X126</f>
        <v>2.4</v>
      </c>
      <c r="AE284" s="529"/>
    </row>
    <row r="285" spans="1:31" hidden="1" x14ac:dyDescent="0.2">
      <c r="A285" s="1322"/>
      <c r="B285" s="706">
        <v>18</v>
      </c>
      <c r="C285" s="706">
        <f>C194</f>
        <v>25</v>
      </c>
      <c r="D285" s="706">
        <f t="shared" ref="D285:E285" si="174">D194</f>
        <v>-0.2</v>
      </c>
      <c r="E285" s="706" t="str">
        <f t="shared" si="174"/>
        <v>-</v>
      </c>
      <c r="F285" s="706" t="str">
        <f t="shared" ref="F285" si="175">F194</f>
        <v>-</v>
      </c>
      <c r="G285" s="706">
        <f>G194</f>
        <v>0</v>
      </c>
      <c r="I285" s="1322"/>
      <c r="J285" s="706">
        <v>18</v>
      </c>
      <c r="K285" s="706">
        <f>J194</f>
        <v>50</v>
      </c>
      <c r="L285" s="706">
        <f>K194</f>
        <v>-0.2</v>
      </c>
      <c r="M285" s="706" t="str">
        <f>L194</f>
        <v>-</v>
      </c>
      <c r="N285" s="706" t="str">
        <f>M194</f>
        <v>-</v>
      </c>
      <c r="O285" s="706">
        <f>N194</f>
        <v>0</v>
      </c>
      <c r="Q285" s="1322"/>
      <c r="R285" s="706">
        <v>18</v>
      </c>
      <c r="S285" s="706">
        <f>Q194</f>
        <v>900</v>
      </c>
      <c r="T285" s="706">
        <f>R194</f>
        <v>-1.1000000000000001</v>
      </c>
      <c r="U285" s="706" t="str">
        <f>S194</f>
        <v>-</v>
      </c>
      <c r="V285" s="706" t="str">
        <f>T194</f>
        <v>-</v>
      </c>
      <c r="W285" s="439">
        <f>U194</f>
        <v>0</v>
      </c>
      <c r="Y285" s="726">
        <v>13</v>
      </c>
      <c r="Z285" s="727">
        <f>X137</f>
        <v>2.4</v>
      </c>
      <c r="AE285" s="529"/>
    </row>
    <row r="286" spans="1:31" hidden="1" x14ac:dyDescent="0.2">
      <c r="A286" s="1322"/>
      <c r="B286" s="706">
        <v>19</v>
      </c>
      <c r="C286" s="706">
        <f>C194</f>
        <v>25</v>
      </c>
      <c r="D286" s="706">
        <f t="shared" ref="D286:E286" si="176">D194</f>
        <v>-0.2</v>
      </c>
      <c r="E286" s="706" t="str">
        <f t="shared" si="176"/>
        <v>-</v>
      </c>
      <c r="F286" s="706" t="str">
        <f t="shared" ref="F286" si="177">F194</f>
        <v>-</v>
      </c>
      <c r="G286" s="706">
        <f>G194</f>
        <v>0</v>
      </c>
      <c r="I286" s="1322"/>
      <c r="J286" s="706">
        <v>19</v>
      </c>
      <c r="K286" s="706">
        <f>J205</f>
        <v>50</v>
      </c>
      <c r="L286" s="706">
        <f>K205</f>
        <v>-0.2</v>
      </c>
      <c r="M286" s="706" t="str">
        <f>L205</f>
        <v>-</v>
      </c>
      <c r="N286" s="706" t="str">
        <f>M205</f>
        <v>-</v>
      </c>
      <c r="O286" s="706">
        <f>N205</f>
        <v>0</v>
      </c>
      <c r="Q286" s="1322"/>
      <c r="R286" s="706">
        <v>19</v>
      </c>
      <c r="S286" s="706">
        <f>Q205</f>
        <v>850</v>
      </c>
      <c r="T286" s="706">
        <f>R205</f>
        <v>2.4</v>
      </c>
      <c r="U286" s="706" t="str">
        <f>S205</f>
        <v>-</v>
      </c>
      <c r="V286" s="706" t="str">
        <f>T205</f>
        <v>-</v>
      </c>
      <c r="W286" s="439">
        <f>U205</f>
        <v>0</v>
      </c>
      <c r="Y286" s="726">
        <v>14</v>
      </c>
      <c r="Z286" s="727">
        <f>X148</f>
        <v>2.4</v>
      </c>
      <c r="AE286" s="529"/>
    </row>
    <row r="287" spans="1:31" ht="13.5" hidden="1" thickBot="1" x14ac:dyDescent="0.25">
      <c r="A287" s="1322"/>
      <c r="B287" s="706">
        <v>20</v>
      </c>
      <c r="C287" s="706">
        <f>C216</f>
        <v>24.6</v>
      </c>
      <c r="D287" s="706">
        <f t="shared" ref="D287:E287" si="178">D216</f>
        <v>9.9999999999999995E-7</v>
      </c>
      <c r="E287" s="706" t="str">
        <f t="shared" si="178"/>
        <v>-</v>
      </c>
      <c r="F287" s="706" t="str">
        <f t="shared" ref="F287" si="179">F216</f>
        <v>-</v>
      </c>
      <c r="G287" s="706">
        <f>G216</f>
        <v>0</v>
      </c>
      <c r="I287" s="1322"/>
      <c r="J287" s="706">
        <v>20</v>
      </c>
      <c r="K287" s="706">
        <f>J216</f>
        <v>62.5</v>
      </c>
      <c r="L287" s="706">
        <f>K216</f>
        <v>9.9999999999999995E-7</v>
      </c>
      <c r="M287" s="706" t="str">
        <f>L216</f>
        <v>-</v>
      </c>
      <c r="N287" s="706" t="str">
        <f>M216</f>
        <v>-</v>
      </c>
      <c r="O287" s="706">
        <f>N216</f>
        <v>0</v>
      </c>
      <c r="Q287" s="1324"/>
      <c r="R287" s="708">
        <v>20</v>
      </c>
      <c r="S287" s="708">
        <f>Q216</f>
        <v>850</v>
      </c>
      <c r="T287" s="708">
        <f>R216</f>
        <v>9.9999999999999995E-7</v>
      </c>
      <c r="U287" s="708" t="str">
        <f>S216</f>
        <v>-</v>
      </c>
      <c r="V287" s="708" t="str">
        <f>T216</f>
        <v>-</v>
      </c>
      <c r="W287" s="447">
        <f>U216</f>
        <v>0</v>
      </c>
      <c r="Y287" s="726">
        <v>15</v>
      </c>
      <c r="Z287" s="727">
        <f>X159</f>
        <v>2.6</v>
      </c>
      <c r="AE287" s="583"/>
    </row>
    <row r="288" spans="1:31" ht="13.5" hidden="1" thickBot="1" x14ac:dyDescent="0.25">
      <c r="A288" s="455"/>
      <c r="B288" s="455"/>
      <c r="C288" s="455"/>
      <c r="D288" s="455"/>
      <c r="E288" s="455"/>
      <c r="F288" s="570"/>
      <c r="G288" s="455"/>
      <c r="I288" s="455"/>
      <c r="J288" s="455"/>
      <c r="K288" s="455"/>
      <c r="L288" s="455"/>
      <c r="M288" s="455"/>
      <c r="N288" s="570"/>
      <c r="O288" s="455"/>
      <c r="Q288" s="586"/>
      <c r="R288" s="587"/>
      <c r="S288" s="448"/>
      <c r="T288" s="448"/>
      <c r="U288" s="448"/>
      <c r="W288" s="449"/>
      <c r="Y288" s="726">
        <v>16</v>
      </c>
      <c r="Z288" s="730">
        <f>X170</f>
        <v>2.2999999999999998</v>
      </c>
      <c r="AE288" s="529"/>
    </row>
    <row r="289" spans="1:31" hidden="1" x14ac:dyDescent="0.2">
      <c r="A289" s="1322">
        <v>4</v>
      </c>
      <c r="B289" s="706">
        <v>1</v>
      </c>
      <c r="C289" s="706">
        <f>C8</f>
        <v>30</v>
      </c>
      <c r="D289" s="706">
        <f t="shared" ref="D289:E289" si="180">D8</f>
        <v>9.9999999999999995E-7</v>
      </c>
      <c r="E289" s="706">
        <f t="shared" si="180"/>
        <v>-0.2</v>
      </c>
      <c r="F289" s="706" t="str">
        <f t="shared" ref="F289" si="181">F8</f>
        <v>-</v>
      </c>
      <c r="G289" s="706">
        <f>G8</f>
        <v>0.10000050000000001</v>
      </c>
      <c r="I289" s="1322">
        <v>4</v>
      </c>
      <c r="J289" s="706">
        <v>1</v>
      </c>
      <c r="K289" s="706">
        <f>J8</f>
        <v>60</v>
      </c>
      <c r="L289" s="706">
        <f>K8</f>
        <v>-5.3</v>
      </c>
      <c r="M289" s="706">
        <f>L8</f>
        <v>-5.2</v>
      </c>
      <c r="N289" s="706" t="str">
        <f>M8</f>
        <v>-</v>
      </c>
      <c r="O289" s="706">
        <f>N8</f>
        <v>4.9999999999999822E-2</v>
      </c>
      <c r="Q289" s="1323">
        <v>4</v>
      </c>
      <c r="R289" s="707">
        <v>1</v>
      </c>
      <c r="S289" s="707">
        <f>Q8</f>
        <v>900</v>
      </c>
      <c r="T289" s="707" t="str">
        <f>R8</f>
        <v>-</v>
      </c>
      <c r="U289" s="707" t="str">
        <f>S8</f>
        <v>-</v>
      </c>
      <c r="V289" s="707" t="str">
        <f>T8</f>
        <v>-</v>
      </c>
      <c r="W289" s="450">
        <f>U8</f>
        <v>0</v>
      </c>
      <c r="Y289" s="726">
        <v>17</v>
      </c>
      <c r="Z289" s="730">
        <f>X181</f>
        <v>2.1</v>
      </c>
      <c r="AE289" s="585"/>
    </row>
    <row r="290" spans="1:31" hidden="1" x14ac:dyDescent="0.2">
      <c r="A290" s="1322"/>
      <c r="B290" s="706">
        <v>2</v>
      </c>
      <c r="C290" s="706">
        <f>C19</f>
        <v>30</v>
      </c>
      <c r="D290" s="706">
        <f t="shared" ref="D290:E290" si="182">D19</f>
        <v>0.2</v>
      </c>
      <c r="E290" s="706">
        <f t="shared" si="182"/>
        <v>-0.3</v>
      </c>
      <c r="F290" s="706" t="str">
        <f t="shared" ref="F290" si="183">F19</f>
        <v>-</v>
      </c>
      <c r="G290" s="706">
        <f>G19</f>
        <v>0.25</v>
      </c>
      <c r="I290" s="1322"/>
      <c r="J290" s="706">
        <v>2</v>
      </c>
      <c r="K290" s="706">
        <f>J19</f>
        <v>60</v>
      </c>
      <c r="L290" s="706">
        <f>K19</f>
        <v>-4</v>
      </c>
      <c r="M290" s="706">
        <f>L19</f>
        <v>-1.3</v>
      </c>
      <c r="N290" s="706" t="str">
        <f>M19</f>
        <v>-</v>
      </c>
      <c r="O290" s="706">
        <f>N19</f>
        <v>1.35</v>
      </c>
      <c r="Q290" s="1322"/>
      <c r="R290" s="706">
        <v>2</v>
      </c>
      <c r="S290" s="706">
        <f>Q19</f>
        <v>900</v>
      </c>
      <c r="T290" s="706" t="str">
        <f>R19</f>
        <v>-</v>
      </c>
      <c r="U290" s="706" t="str">
        <f>S19</f>
        <v>-</v>
      </c>
      <c r="V290" s="706" t="str">
        <f>T19</f>
        <v>-</v>
      </c>
      <c r="W290" s="439">
        <f>U19</f>
        <v>0</v>
      </c>
      <c r="Y290" s="726">
        <v>18</v>
      </c>
      <c r="Z290" s="730">
        <f>X192</f>
        <v>2.4</v>
      </c>
      <c r="AE290" s="529"/>
    </row>
    <row r="291" spans="1:31" hidden="1" x14ac:dyDescent="0.2">
      <c r="A291" s="1322"/>
      <c r="B291" s="706">
        <v>3</v>
      </c>
      <c r="C291" s="706">
        <f>C30</f>
        <v>30</v>
      </c>
      <c r="D291" s="706">
        <f t="shared" ref="D291:E291" si="184">D30</f>
        <v>9.9999999999999995E-7</v>
      </c>
      <c r="E291" s="706">
        <f t="shared" si="184"/>
        <v>-0.3</v>
      </c>
      <c r="F291" s="706" t="str">
        <f t="shared" ref="F291" si="185">F30</f>
        <v>-</v>
      </c>
      <c r="G291" s="706">
        <f>G30</f>
        <v>0.15000049999999998</v>
      </c>
      <c r="I291" s="1322"/>
      <c r="J291" s="706">
        <v>3</v>
      </c>
      <c r="K291" s="706">
        <f>J30</f>
        <v>60</v>
      </c>
      <c r="L291" s="706">
        <f>K30</f>
        <v>-3.2</v>
      </c>
      <c r="M291" s="706">
        <f>L30</f>
        <v>-4.3</v>
      </c>
      <c r="N291" s="706" t="str">
        <f>M30</f>
        <v>-</v>
      </c>
      <c r="O291" s="706">
        <f>N30</f>
        <v>0.54999999999999982</v>
      </c>
      <c r="Q291" s="1322"/>
      <c r="R291" s="706">
        <v>3</v>
      </c>
      <c r="S291" s="706">
        <f>Q30</f>
        <v>900</v>
      </c>
      <c r="T291" s="706" t="str">
        <f>R30</f>
        <v>-</v>
      </c>
      <c r="U291" s="706" t="str">
        <f>S30</f>
        <v>-</v>
      </c>
      <c r="V291" s="706" t="str">
        <f>T30</f>
        <v>-</v>
      </c>
      <c r="W291" s="439">
        <f>U30</f>
        <v>0</v>
      </c>
      <c r="Y291" s="726">
        <v>19</v>
      </c>
      <c r="Z291" s="730">
        <f>X203</f>
        <v>0.4</v>
      </c>
      <c r="AE291" s="529"/>
    </row>
    <row r="292" spans="1:31" ht="13.5" hidden="1" thickBot="1" x14ac:dyDescent="0.25">
      <c r="A292" s="1322"/>
      <c r="B292" s="706">
        <v>4</v>
      </c>
      <c r="C292" s="706">
        <f>C41</f>
        <v>30</v>
      </c>
      <c r="D292" s="706">
        <f t="shared" ref="D292:E292" si="186">D41</f>
        <v>-0.1</v>
      </c>
      <c r="E292" s="706">
        <f t="shared" si="186"/>
        <v>-0.6</v>
      </c>
      <c r="F292" s="706" t="str">
        <f t="shared" ref="F292" si="187">F41</f>
        <v>-</v>
      </c>
      <c r="G292" s="706">
        <f>G41</f>
        <v>0.25</v>
      </c>
      <c r="I292" s="1322"/>
      <c r="J292" s="706">
        <v>4</v>
      </c>
      <c r="K292" s="706">
        <f>J41</f>
        <v>60</v>
      </c>
      <c r="L292" s="706">
        <f>K41</f>
        <v>-4.2</v>
      </c>
      <c r="M292" s="706">
        <f>L41</f>
        <v>-0.3</v>
      </c>
      <c r="N292" s="706" t="str">
        <f>M41</f>
        <v>-</v>
      </c>
      <c r="O292" s="706">
        <f>N41</f>
        <v>1.9500000000000002</v>
      </c>
      <c r="Q292" s="1322"/>
      <c r="R292" s="706">
        <v>4</v>
      </c>
      <c r="S292" s="706">
        <f>Q41</f>
        <v>900</v>
      </c>
      <c r="T292" s="706" t="str">
        <f>R41</f>
        <v>-</v>
      </c>
      <c r="U292" s="706" t="str">
        <f>S41</f>
        <v>-</v>
      </c>
      <c r="V292" s="706" t="str">
        <f>T41</f>
        <v>-</v>
      </c>
      <c r="W292" s="439">
        <f>U41</f>
        <v>0</v>
      </c>
      <c r="Y292" s="731">
        <v>20</v>
      </c>
      <c r="Z292" s="732">
        <f>X214</f>
        <v>0</v>
      </c>
      <c r="AE292" s="529"/>
    </row>
    <row r="293" spans="1:31" hidden="1" x14ac:dyDescent="0.2">
      <c r="A293" s="1322"/>
      <c r="B293" s="706">
        <v>5</v>
      </c>
      <c r="C293" s="706">
        <f>C52</f>
        <v>30</v>
      </c>
      <c r="D293" s="706">
        <f t="shared" ref="D293:E293" si="188">D52</f>
        <v>0.6</v>
      </c>
      <c r="E293" s="706">
        <f t="shared" si="188"/>
        <v>0.1</v>
      </c>
      <c r="F293" s="706" t="str">
        <f t="shared" ref="F293" si="189">F52</f>
        <v>-</v>
      </c>
      <c r="G293" s="706">
        <f>G52</f>
        <v>0.25</v>
      </c>
      <c r="I293" s="1322"/>
      <c r="J293" s="706">
        <v>5</v>
      </c>
      <c r="K293" s="706">
        <f>J52</f>
        <v>60</v>
      </c>
      <c r="L293" s="706">
        <f>K52</f>
        <v>-5.2</v>
      </c>
      <c r="M293" s="706">
        <f>L52</f>
        <v>-4.2</v>
      </c>
      <c r="N293" s="706" t="str">
        <f>M52</f>
        <v>-</v>
      </c>
      <c r="O293" s="706">
        <f>N52</f>
        <v>0.5</v>
      </c>
      <c r="Q293" s="1322"/>
      <c r="R293" s="706">
        <v>5</v>
      </c>
      <c r="S293" s="706">
        <f>Q52</f>
        <v>900</v>
      </c>
      <c r="T293" s="706" t="str">
        <f>R52</f>
        <v>-</v>
      </c>
      <c r="U293" s="706" t="str">
        <f>S52</f>
        <v>-</v>
      </c>
      <c r="V293" s="706" t="str">
        <f>T52</f>
        <v>-</v>
      </c>
      <c r="W293" s="439">
        <f>U52</f>
        <v>0</v>
      </c>
      <c r="AE293" s="529"/>
    </row>
    <row r="294" spans="1:31" hidden="1" x14ac:dyDescent="0.2">
      <c r="A294" s="1322"/>
      <c r="B294" s="706">
        <v>6</v>
      </c>
      <c r="C294" s="706">
        <f>C63</f>
        <v>30</v>
      </c>
      <c r="D294" s="706">
        <f t="shared" ref="D294:E294" si="190">D63</f>
        <v>0.1</v>
      </c>
      <c r="E294" s="706">
        <f t="shared" si="190"/>
        <v>-0.5</v>
      </c>
      <c r="F294" s="706" t="str">
        <f t="shared" ref="F294" si="191">F63</f>
        <v>-</v>
      </c>
      <c r="G294" s="706">
        <f>G63</f>
        <v>0.3</v>
      </c>
      <c r="I294" s="1322"/>
      <c r="J294" s="706">
        <v>6</v>
      </c>
      <c r="K294" s="706">
        <f>J63</f>
        <v>60</v>
      </c>
      <c r="L294" s="706">
        <f>K63</f>
        <v>-6.4</v>
      </c>
      <c r="M294" s="706">
        <f>L63</f>
        <v>1.1000000000000001</v>
      </c>
      <c r="N294" s="706" t="str">
        <f>M63</f>
        <v>-</v>
      </c>
      <c r="O294" s="706">
        <f>N63</f>
        <v>3.75</v>
      </c>
      <c r="Q294" s="1322"/>
      <c r="R294" s="706">
        <v>6</v>
      </c>
      <c r="S294" s="706">
        <f>Q63</f>
        <v>900</v>
      </c>
      <c r="T294" s="706">
        <f>R63</f>
        <v>0.9</v>
      </c>
      <c r="U294" s="706">
        <f>S63</f>
        <v>0.7</v>
      </c>
      <c r="V294" s="706" t="str">
        <f>T63</f>
        <v>-</v>
      </c>
      <c r="W294" s="439">
        <f>U63</f>
        <v>0.10000000000000003</v>
      </c>
      <c r="AE294" s="529"/>
    </row>
    <row r="295" spans="1:31" hidden="1" x14ac:dyDescent="0.2">
      <c r="A295" s="1322"/>
      <c r="B295" s="706">
        <v>7</v>
      </c>
      <c r="C295" s="706">
        <f>C74</f>
        <v>30</v>
      </c>
      <c r="D295" s="706">
        <f t="shared" ref="D295:E295" si="192">D74</f>
        <v>9.9999999999999995E-7</v>
      </c>
      <c r="E295" s="706">
        <f t="shared" si="192"/>
        <v>-0.6</v>
      </c>
      <c r="F295" s="706" t="str">
        <f t="shared" ref="F295" si="193">F74</f>
        <v>-</v>
      </c>
      <c r="G295" s="706">
        <f>G74</f>
        <v>0.3000005</v>
      </c>
      <c r="I295" s="1322"/>
      <c r="J295" s="706">
        <v>7</v>
      </c>
      <c r="K295" s="706">
        <f>J74</f>
        <v>60</v>
      </c>
      <c r="L295" s="706">
        <f>K74</f>
        <v>-2.1</v>
      </c>
      <c r="M295" s="706">
        <f>L74</f>
        <v>0.7</v>
      </c>
      <c r="N295" s="706" t="str">
        <f>M74</f>
        <v>-</v>
      </c>
      <c r="O295" s="706">
        <f>N74</f>
        <v>1.4</v>
      </c>
      <c r="Q295" s="1322"/>
      <c r="R295" s="706">
        <v>7</v>
      </c>
      <c r="S295" s="706">
        <f>Q74</f>
        <v>900</v>
      </c>
      <c r="T295" s="706">
        <f>R74</f>
        <v>9.9999999999999995E-7</v>
      </c>
      <c r="U295" s="706">
        <f>S74</f>
        <v>1</v>
      </c>
      <c r="V295" s="706" t="str">
        <f>T74</f>
        <v>-</v>
      </c>
      <c r="W295" s="439">
        <f>U74</f>
        <v>0.49999949999999999</v>
      </c>
      <c r="AE295" s="529"/>
    </row>
    <row r="296" spans="1:31" hidden="1" x14ac:dyDescent="0.2">
      <c r="A296" s="1322"/>
      <c r="B296" s="706">
        <v>8</v>
      </c>
      <c r="C296" s="706">
        <f>C85</f>
        <v>30</v>
      </c>
      <c r="D296" s="706">
        <f t="shared" ref="D296:E296" si="194">D85</f>
        <v>-0.2</v>
      </c>
      <c r="E296" s="706">
        <f t="shared" si="194"/>
        <v>-0.4</v>
      </c>
      <c r="F296" s="706" t="str">
        <f t="shared" ref="F296" si="195">F85</f>
        <v>-</v>
      </c>
      <c r="G296" s="706">
        <f>G85</f>
        <v>0.1</v>
      </c>
      <c r="I296" s="1322"/>
      <c r="J296" s="706">
        <v>8</v>
      </c>
      <c r="K296" s="706">
        <f>J85</f>
        <v>60</v>
      </c>
      <c r="L296" s="706">
        <f>K85</f>
        <v>-3.9</v>
      </c>
      <c r="M296" s="706">
        <f>L85</f>
        <v>-1.1000000000000001</v>
      </c>
      <c r="N296" s="706" t="str">
        <f>M85</f>
        <v>-</v>
      </c>
      <c r="O296" s="706">
        <f>N85</f>
        <v>1.4</v>
      </c>
      <c r="Q296" s="1322"/>
      <c r="R296" s="706">
        <v>8</v>
      </c>
      <c r="S296" s="706">
        <f>Q85</f>
        <v>900</v>
      </c>
      <c r="T296" s="706">
        <f>R85</f>
        <v>-4.4000000000000004</v>
      </c>
      <c r="U296" s="706">
        <f>S85</f>
        <v>9.9999999999999995E-7</v>
      </c>
      <c r="V296" s="706" t="str">
        <f>T85</f>
        <v>-</v>
      </c>
      <c r="W296" s="439">
        <f>U85</f>
        <v>2.2000005000000002</v>
      </c>
      <c r="AE296" s="529"/>
    </row>
    <row r="297" spans="1:31" hidden="1" x14ac:dyDescent="0.2">
      <c r="A297" s="1322"/>
      <c r="B297" s="706">
        <v>9</v>
      </c>
      <c r="C297" s="706">
        <f>C96</f>
        <v>30</v>
      </c>
      <c r="D297" s="706">
        <f t="shared" ref="D297:E297" si="196">D96</f>
        <v>-0.5</v>
      </c>
      <c r="E297" s="706" t="str">
        <f t="shared" si="196"/>
        <v>-</v>
      </c>
      <c r="F297" s="706" t="str">
        <f t="shared" ref="F297" si="197">F96</f>
        <v>-</v>
      </c>
      <c r="G297" s="706">
        <f>G96</f>
        <v>0</v>
      </c>
      <c r="I297" s="1322"/>
      <c r="J297" s="706">
        <v>9</v>
      </c>
      <c r="K297" s="706">
        <f>J96</f>
        <v>60</v>
      </c>
      <c r="L297" s="706">
        <f>K96</f>
        <v>-0.8</v>
      </c>
      <c r="M297" s="706" t="str">
        <f>L96</f>
        <v>-</v>
      </c>
      <c r="N297" s="706" t="str">
        <f>M96</f>
        <v>-</v>
      </c>
      <c r="O297" s="706">
        <f>N96</f>
        <v>0</v>
      </c>
      <c r="Q297" s="1322"/>
      <c r="R297" s="706">
        <v>9</v>
      </c>
      <c r="S297" s="706">
        <f>Q96</f>
        <v>900</v>
      </c>
      <c r="T297" s="706">
        <f>R96</f>
        <v>9.9999999999999995E-7</v>
      </c>
      <c r="U297" s="706" t="str">
        <f>S96</f>
        <v>-</v>
      </c>
      <c r="V297" s="706" t="str">
        <f>T96</f>
        <v>-</v>
      </c>
      <c r="W297" s="439">
        <f>U96</f>
        <v>0</v>
      </c>
      <c r="AE297" s="529"/>
    </row>
    <row r="298" spans="1:31" hidden="1" x14ac:dyDescent="0.2">
      <c r="A298" s="1322"/>
      <c r="B298" s="706">
        <v>10</v>
      </c>
      <c r="C298" s="706">
        <f>C107</f>
        <v>30</v>
      </c>
      <c r="D298" s="706">
        <f t="shared" ref="D298:E298" si="198">D107</f>
        <v>0.1</v>
      </c>
      <c r="E298" s="706">
        <f t="shared" si="198"/>
        <v>0.2</v>
      </c>
      <c r="F298" s="706" t="str">
        <f t="shared" ref="F298" si="199">F107</f>
        <v>-</v>
      </c>
      <c r="G298" s="706">
        <f>G107</f>
        <v>0.05</v>
      </c>
      <c r="I298" s="1322"/>
      <c r="J298" s="706">
        <v>10</v>
      </c>
      <c r="K298" s="706">
        <f>J107</f>
        <v>60</v>
      </c>
      <c r="L298" s="706">
        <f>K107</f>
        <v>-2.1</v>
      </c>
      <c r="M298" s="706">
        <f>L107</f>
        <v>-5.6</v>
      </c>
      <c r="N298" s="706" t="str">
        <f>M107</f>
        <v>-</v>
      </c>
      <c r="O298" s="706">
        <f>N107</f>
        <v>1.7499999999999998</v>
      </c>
      <c r="Q298" s="1322"/>
      <c r="R298" s="706">
        <v>10</v>
      </c>
      <c r="S298" s="706">
        <f>Q107</f>
        <v>900</v>
      </c>
      <c r="T298" s="706" t="str">
        <f>R107</f>
        <v>-</v>
      </c>
      <c r="U298" s="706" t="str">
        <f>S107</f>
        <v>-</v>
      </c>
      <c r="V298" s="706" t="str">
        <f>T107</f>
        <v>-</v>
      </c>
      <c r="W298" s="439">
        <f>U107</f>
        <v>0</v>
      </c>
      <c r="AE298" s="529"/>
    </row>
    <row r="299" spans="1:31" hidden="1" x14ac:dyDescent="0.2">
      <c r="A299" s="1322"/>
      <c r="B299" s="706">
        <v>11</v>
      </c>
      <c r="C299" s="706">
        <f>C118</f>
        <v>30</v>
      </c>
      <c r="D299" s="706">
        <f t="shared" ref="D299:E299" si="200">D118</f>
        <v>0.5</v>
      </c>
      <c r="E299" s="706">
        <f t="shared" si="200"/>
        <v>0.4</v>
      </c>
      <c r="F299" s="706" t="str">
        <f t="shared" ref="F299" si="201">F118</f>
        <v>-</v>
      </c>
      <c r="G299" s="706">
        <f>G118</f>
        <v>4.9999999999999989E-2</v>
      </c>
      <c r="I299" s="1322"/>
      <c r="J299" s="706">
        <v>11</v>
      </c>
      <c r="K299" s="706">
        <f>J118</f>
        <v>60</v>
      </c>
      <c r="L299" s="706">
        <f>K118</f>
        <v>-4.8</v>
      </c>
      <c r="M299" s="706">
        <f>L118</f>
        <v>-4.5</v>
      </c>
      <c r="N299" s="706" t="str">
        <f>M118</f>
        <v>-</v>
      </c>
      <c r="O299" s="706">
        <f>N118</f>
        <v>0.14999999999999991</v>
      </c>
      <c r="Q299" s="1322"/>
      <c r="R299" s="706">
        <v>11</v>
      </c>
      <c r="S299" s="706">
        <f>Q118</f>
        <v>900</v>
      </c>
      <c r="T299" s="706" t="str">
        <f>R118</f>
        <v>-</v>
      </c>
      <c r="U299" s="706" t="str">
        <f>S118</f>
        <v>-</v>
      </c>
      <c r="V299" s="706" t="str">
        <f>T118</f>
        <v>-</v>
      </c>
      <c r="W299" s="439">
        <f>U118</f>
        <v>0</v>
      </c>
      <c r="AE299" s="529"/>
    </row>
    <row r="300" spans="1:31" hidden="1" x14ac:dyDescent="0.2">
      <c r="A300" s="1322"/>
      <c r="B300" s="706">
        <v>12</v>
      </c>
      <c r="C300" s="706">
        <f>C129</f>
        <v>30</v>
      </c>
      <c r="D300" s="706">
        <f t="shared" ref="D300:E300" si="202">D129</f>
        <v>-0.1</v>
      </c>
      <c r="E300" s="706" t="str">
        <f t="shared" si="202"/>
        <v>-</v>
      </c>
      <c r="F300" s="706" t="str">
        <f t="shared" ref="F300" si="203">F129</f>
        <v>-</v>
      </c>
      <c r="G300" s="706">
        <f>G129</f>
        <v>0</v>
      </c>
      <c r="I300" s="1322"/>
      <c r="J300" s="706">
        <v>12</v>
      </c>
      <c r="K300" s="706">
        <f>J129</f>
        <v>60</v>
      </c>
      <c r="L300" s="706">
        <f>K129</f>
        <v>9.9999999999999995E-7</v>
      </c>
      <c r="M300" s="706" t="str">
        <f>L129</f>
        <v>-</v>
      </c>
      <c r="N300" s="706" t="str">
        <f>M129</f>
        <v>-</v>
      </c>
      <c r="O300" s="706">
        <f>N129</f>
        <v>0</v>
      </c>
      <c r="Q300" s="1322"/>
      <c r="R300" s="706">
        <v>12</v>
      </c>
      <c r="S300" s="706">
        <f>Q129</f>
        <v>950</v>
      </c>
      <c r="T300" s="706">
        <f>R129</f>
        <v>-0.7</v>
      </c>
      <c r="U300" s="706" t="str">
        <f>S129</f>
        <v>-</v>
      </c>
      <c r="V300" s="706" t="str">
        <f>T129</f>
        <v>-</v>
      </c>
      <c r="W300" s="439">
        <f>U129</f>
        <v>0</v>
      </c>
      <c r="AE300" s="529"/>
    </row>
    <row r="301" spans="1:31" hidden="1" x14ac:dyDescent="0.2">
      <c r="A301" s="1322"/>
      <c r="B301" s="706">
        <v>13</v>
      </c>
      <c r="C301" s="706">
        <f>C151</f>
        <v>30</v>
      </c>
      <c r="D301" s="706">
        <f t="shared" ref="D301:E301" si="204">D151</f>
        <v>-0.4</v>
      </c>
      <c r="E301" s="706">
        <f t="shared" si="204"/>
        <v>-0.3</v>
      </c>
      <c r="F301" s="706" t="str">
        <f t="shared" ref="F301" si="205">F151</f>
        <v>-</v>
      </c>
      <c r="G301" s="706">
        <f>G151</f>
        <v>5.0000000000000017E-2</v>
      </c>
      <c r="I301" s="1322"/>
      <c r="J301" s="706">
        <v>13</v>
      </c>
      <c r="K301" s="706">
        <f>J140</f>
        <v>60</v>
      </c>
      <c r="L301" s="706">
        <f>K140</f>
        <v>-1.6</v>
      </c>
      <c r="M301" s="706">
        <f>L140</f>
        <v>-1.5</v>
      </c>
      <c r="N301" s="706" t="str">
        <f>M140</f>
        <v>-</v>
      </c>
      <c r="O301" s="706">
        <f>N140</f>
        <v>5.0000000000000044E-2</v>
      </c>
      <c r="Q301" s="1322"/>
      <c r="R301" s="706">
        <v>13</v>
      </c>
      <c r="S301" s="706">
        <f>Q140</f>
        <v>1000</v>
      </c>
      <c r="T301" s="706">
        <f>R140</f>
        <v>3.7</v>
      </c>
      <c r="U301" s="706">
        <f>S140</f>
        <v>1.1000000000000001</v>
      </c>
      <c r="V301" s="706" t="str">
        <f>T140</f>
        <v>-</v>
      </c>
      <c r="W301" s="439">
        <f>U140</f>
        <v>1.3</v>
      </c>
      <c r="AE301" s="529"/>
    </row>
    <row r="302" spans="1:31" hidden="1" x14ac:dyDescent="0.2">
      <c r="A302" s="1322"/>
      <c r="B302" s="706">
        <v>14</v>
      </c>
      <c r="C302" s="706">
        <f>C151</f>
        <v>30</v>
      </c>
      <c r="D302" s="706">
        <f t="shared" ref="D302:E302" si="206">D151</f>
        <v>-0.4</v>
      </c>
      <c r="E302" s="706">
        <f t="shared" si="206"/>
        <v>-0.3</v>
      </c>
      <c r="F302" s="706" t="str">
        <f t="shared" ref="F302" si="207">F151</f>
        <v>-</v>
      </c>
      <c r="G302" s="706">
        <f>G151</f>
        <v>5.0000000000000017E-2</v>
      </c>
      <c r="I302" s="1322"/>
      <c r="J302" s="706">
        <v>14</v>
      </c>
      <c r="K302" s="706">
        <f>J151</f>
        <v>60</v>
      </c>
      <c r="L302" s="706">
        <f>K151</f>
        <v>0.3</v>
      </c>
      <c r="M302" s="706">
        <f>L151</f>
        <v>-0.6</v>
      </c>
      <c r="N302" s="706" t="str">
        <f>M151</f>
        <v>-</v>
      </c>
      <c r="O302" s="706">
        <f>N151</f>
        <v>0.44999999999999996</v>
      </c>
      <c r="Q302" s="1322"/>
      <c r="R302" s="706">
        <v>14</v>
      </c>
      <c r="S302" s="706">
        <f>Q151</f>
        <v>1000</v>
      </c>
      <c r="T302" s="706">
        <f>R151</f>
        <v>3.8</v>
      </c>
      <c r="U302" s="706">
        <f>S151</f>
        <v>1.1000000000000001</v>
      </c>
      <c r="V302" s="706" t="str">
        <f>T151</f>
        <v>-</v>
      </c>
      <c r="W302" s="439">
        <f>U151</f>
        <v>1.3499999999999999</v>
      </c>
      <c r="AE302" s="529"/>
    </row>
    <row r="303" spans="1:31" hidden="1" x14ac:dyDescent="0.2">
      <c r="A303" s="1322"/>
      <c r="B303" s="706">
        <v>15</v>
      </c>
      <c r="C303" s="706">
        <f>C162</f>
        <v>30</v>
      </c>
      <c r="D303" s="706">
        <f t="shared" ref="D303:E303" si="208">D162</f>
        <v>0.4</v>
      </c>
      <c r="E303" s="706">
        <f t="shared" si="208"/>
        <v>-0.2</v>
      </c>
      <c r="F303" s="706" t="str">
        <f t="shared" ref="F303" si="209">F162</f>
        <v>-</v>
      </c>
      <c r="G303" s="706">
        <f>G162</f>
        <v>0.30000000000000004</v>
      </c>
      <c r="I303" s="1322"/>
      <c r="J303" s="706">
        <v>15</v>
      </c>
      <c r="K303" s="706">
        <f>J162</f>
        <v>60</v>
      </c>
      <c r="L303" s="706">
        <f>K162</f>
        <v>-1.1000000000000001</v>
      </c>
      <c r="M303" s="706">
        <f>L162</f>
        <v>-0.5</v>
      </c>
      <c r="N303" s="706" t="str">
        <f>M162</f>
        <v>-</v>
      </c>
      <c r="O303" s="706">
        <f>N162</f>
        <v>0.30000000000000004</v>
      </c>
      <c r="Q303" s="1322"/>
      <c r="R303" s="706">
        <v>15</v>
      </c>
      <c r="S303" s="706">
        <f>Q162</f>
        <v>1000</v>
      </c>
      <c r="T303" s="706">
        <f>R162</f>
        <v>4.0999999999999996</v>
      </c>
      <c r="U303" s="706">
        <f>S162</f>
        <v>1.1000000000000001</v>
      </c>
      <c r="V303" s="706" t="str">
        <f>T162</f>
        <v>-</v>
      </c>
      <c r="W303" s="439">
        <f>U162</f>
        <v>1.4999999999999998</v>
      </c>
      <c r="AE303" s="529"/>
    </row>
    <row r="304" spans="1:31" hidden="1" x14ac:dyDescent="0.2">
      <c r="A304" s="1322"/>
      <c r="B304" s="706">
        <v>16</v>
      </c>
      <c r="C304" s="706">
        <f>C173</f>
        <v>30</v>
      </c>
      <c r="D304" s="706">
        <f t="shared" ref="D304:E304" si="210">D173</f>
        <v>0.2</v>
      </c>
      <c r="E304" s="706" t="str">
        <f t="shared" si="210"/>
        <v>-</v>
      </c>
      <c r="F304" s="706" t="str">
        <f t="shared" ref="F304" si="211">F173</f>
        <v>-</v>
      </c>
      <c r="G304" s="706">
        <f>G173</f>
        <v>0</v>
      </c>
      <c r="I304" s="1322"/>
      <c r="J304" s="706">
        <v>16</v>
      </c>
      <c r="K304" s="706">
        <f>J173</f>
        <v>60</v>
      </c>
      <c r="L304" s="706">
        <f>K173</f>
        <v>-1.5</v>
      </c>
      <c r="M304" s="706" t="str">
        <f>L173</f>
        <v>-</v>
      </c>
      <c r="N304" s="706" t="str">
        <f>M173</f>
        <v>-</v>
      </c>
      <c r="O304" s="706">
        <f>N173</f>
        <v>0</v>
      </c>
      <c r="Q304" s="1322"/>
      <c r="R304" s="706">
        <v>16</v>
      </c>
      <c r="S304" s="706">
        <f>Q173</f>
        <v>950</v>
      </c>
      <c r="T304" s="706">
        <f>R173</f>
        <v>-1.1000000000000001</v>
      </c>
      <c r="U304" s="706" t="str">
        <f>S173</f>
        <v>-</v>
      </c>
      <c r="V304" s="706" t="str">
        <f>T173</f>
        <v>-</v>
      </c>
      <c r="W304" s="439">
        <f>U173</f>
        <v>0</v>
      </c>
      <c r="AE304" s="529"/>
    </row>
    <row r="305" spans="1:31" hidden="1" x14ac:dyDescent="0.2">
      <c r="A305" s="1322"/>
      <c r="B305" s="706">
        <v>17</v>
      </c>
      <c r="C305" s="706">
        <f>C184</f>
        <v>30</v>
      </c>
      <c r="D305" s="706">
        <f t="shared" ref="D305:E305" si="212">D184</f>
        <v>-0.2</v>
      </c>
      <c r="E305" s="706" t="str">
        <f t="shared" si="212"/>
        <v>-</v>
      </c>
      <c r="F305" s="706" t="str">
        <f t="shared" ref="F305" si="213">F184</f>
        <v>-</v>
      </c>
      <c r="G305" s="706">
        <f>G184</f>
        <v>0</v>
      </c>
      <c r="I305" s="1322"/>
      <c r="J305" s="706">
        <v>17</v>
      </c>
      <c r="K305" s="706">
        <f>J184</f>
        <v>60</v>
      </c>
      <c r="L305" s="706">
        <f>K184</f>
        <v>9.9999999999999995E-7</v>
      </c>
      <c r="M305" s="706" t="str">
        <f>L184</f>
        <v>-</v>
      </c>
      <c r="N305" s="706" t="str">
        <f>M184</f>
        <v>-</v>
      </c>
      <c r="O305" s="706">
        <f>N184</f>
        <v>0</v>
      </c>
      <c r="Q305" s="1322"/>
      <c r="R305" s="706">
        <v>17</v>
      </c>
      <c r="S305" s="706">
        <f>Q184</f>
        <v>990</v>
      </c>
      <c r="T305" s="706">
        <f>R184</f>
        <v>-0.6</v>
      </c>
      <c r="U305" s="706" t="str">
        <f>S184</f>
        <v>-</v>
      </c>
      <c r="V305" s="706" t="str">
        <f>T184</f>
        <v>-</v>
      </c>
      <c r="W305" s="439">
        <f>U184</f>
        <v>0</v>
      </c>
      <c r="AE305" s="529"/>
    </row>
    <row r="306" spans="1:31" hidden="1" x14ac:dyDescent="0.2">
      <c r="A306" s="1322"/>
      <c r="B306" s="706">
        <v>18</v>
      </c>
      <c r="C306" s="706">
        <f>C195</f>
        <v>30</v>
      </c>
      <c r="D306" s="706">
        <f t="shared" ref="D306:E306" si="214">D195</f>
        <v>-0.2</v>
      </c>
      <c r="E306" s="706" t="str">
        <f t="shared" si="214"/>
        <v>-</v>
      </c>
      <c r="F306" s="706" t="str">
        <f t="shared" ref="F306" si="215">F195</f>
        <v>-</v>
      </c>
      <c r="G306" s="706">
        <f>G195</f>
        <v>0</v>
      </c>
      <c r="I306" s="1322"/>
      <c r="J306" s="706">
        <v>18</v>
      </c>
      <c r="K306" s="706">
        <f>J195</f>
        <v>60</v>
      </c>
      <c r="L306" s="706">
        <f>K195</f>
        <v>-0.2</v>
      </c>
      <c r="M306" s="706" t="str">
        <f>L195</f>
        <v>-</v>
      </c>
      <c r="N306" s="706" t="str">
        <f>M195</f>
        <v>-</v>
      </c>
      <c r="O306" s="706">
        <f>N195</f>
        <v>0</v>
      </c>
      <c r="Q306" s="1322"/>
      <c r="R306" s="706">
        <v>18</v>
      </c>
      <c r="S306" s="706">
        <f>Q195</f>
        <v>950</v>
      </c>
      <c r="T306" s="706">
        <f>R195</f>
        <v>-0.9</v>
      </c>
      <c r="U306" s="706" t="str">
        <f>S195</f>
        <v>-</v>
      </c>
      <c r="V306" s="706" t="str">
        <f>T195</f>
        <v>-</v>
      </c>
      <c r="W306" s="439">
        <f>U195</f>
        <v>0</v>
      </c>
      <c r="AE306" s="529"/>
    </row>
    <row r="307" spans="1:31" hidden="1" x14ac:dyDescent="0.2">
      <c r="A307" s="1322"/>
      <c r="B307" s="706">
        <v>19</v>
      </c>
      <c r="C307" s="706">
        <f>C206</f>
        <v>30</v>
      </c>
      <c r="D307" s="706">
        <f t="shared" ref="D307:E307" si="216">D206</f>
        <v>-0.1</v>
      </c>
      <c r="E307" s="706" t="str">
        <f t="shared" si="216"/>
        <v>-</v>
      </c>
      <c r="F307" s="706" t="str">
        <f t="shared" ref="F307" si="217">F206</f>
        <v>-</v>
      </c>
      <c r="G307" s="706">
        <f>G206</f>
        <v>0</v>
      </c>
      <c r="I307" s="1322"/>
      <c r="J307" s="706">
        <v>19</v>
      </c>
      <c r="K307" s="706">
        <f>J206</f>
        <v>60</v>
      </c>
      <c r="L307" s="706">
        <f>K206</f>
        <v>0.4</v>
      </c>
      <c r="M307" s="706" t="str">
        <f>L206</f>
        <v>-</v>
      </c>
      <c r="N307" s="706" t="str">
        <f>M206</f>
        <v>-</v>
      </c>
      <c r="O307" s="706">
        <f>N206</f>
        <v>0</v>
      </c>
      <c r="Q307" s="1322"/>
      <c r="R307" s="706">
        <v>19</v>
      </c>
      <c r="S307" s="706">
        <f>Q206</f>
        <v>900</v>
      </c>
      <c r="T307" s="706">
        <f>R206</f>
        <v>2.2999999999999998</v>
      </c>
      <c r="U307" s="706" t="str">
        <f>S206</f>
        <v>-</v>
      </c>
      <c r="V307" s="706" t="str">
        <f>T206</f>
        <v>-</v>
      </c>
      <c r="W307" s="439">
        <f>U206</f>
        <v>0</v>
      </c>
      <c r="AE307" s="529"/>
    </row>
    <row r="308" spans="1:31" ht="13.5" hidden="1" thickBot="1" x14ac:dyDescent="0.25">
      <c r="A308" s="1322"/>
      <c r="B308" s="706">
        <v>20</v>
      </c>
      <c r="C308" s="706">
        <f>C217</f>
        <v>29.5</v>
      </c>
      <c r="D308" s="706">
        <f t="shared" ref="D308:E308" si="218">D217</f>
        <v>9.9999999999999995E-7</v>
      </c>
      <c r="E308" s="706" t="str">
        <f t="shared" si="218"/>
        <v>-</v>
      </c>
      <c r="F308" s="706" t="str">
        <f t="shared" ref="F308" si="219">F217</f>
        <v>-</v>
      </c>
      <c r="G308" s="706">
        <f>G217</f>
        <v>0</v>
      </c>
      <c r="I308" s="1322"/>
      <c r="J308" s="706">
        <v>20</v>
      </c>
      <c r="K308" s="706">
        <f>J217</f>
        <v>71.5</v>
      </c>
      <c r="L308" s="706">
        <f>K217</f>
        <v>9.9999999999999995E-7</v>
      </c>
      <c r="M308" s="706" t="str">
        <f>L217</f>
        <v>-</v>
      </c>
      <c r="N308" s="706" t="str">
        <f>M217</f>
        <v>-</v>
      </c>
      <c r="O308" s="706">
        <f>N217</f>
        <v>0</v>
      </c>
      <c r="Q308" s="1324"/>
      <c r="R308" s="708">
        <v>20</v>
      </c>
      <c r="S308" s="708">
        <f>Q217</f>
        <v>900</v>
      </c>
      <c r="T308" s="708">
        <f>R217</f>
        <v>9.9999999999999995E-7</v>
      </c>
      <c r="U308" s="708" t="str">
        <f>S217</f>
        <v>-</v>
      </c>
      <c r="V308" s="708" t="str">
        <f>T217</f>
        <v>-</v>
      </c>
      <c r="W308" s="447">
        <f>U217</f>
        <v>0</v>
      </c>
      <c r="AE308" s="583"/>
    </row>
    <row r="309" spans="1:31" ht="13.5" hidden="1" thickBot="1" x14ac:dyDescent="0.25">
      <c r="A309" s="455"/>
      <c r="B309" s="455"/>
      <c r="C309" s="455"/>
      <c r="D309" s="455"/>
      <c r="E309" s="455"/>
      <c r="F309" s="570"/>
      <c r="G309" s="455"/>
      <c r="I309" s="455"/>
      <c r="J309" s="455"/>
      <c r="K309" s="455"/>
      <c r="L309" s="455"/>
      <c r="M309" s="455"/>
      <c r="N309" s="570"/>
      <c r="O309" s="455"/>
      <c r="Q309" s="586"/>
      <c r="R309" s="587"/>
      <c r="S309" s="448"/>
      <c r="T309" s="448"/>
      <c r="U309" s="448"/>
      <c r="W309" s="449"/>
      <c r="AE309" s="529"/>
    </row>
    <row r="310" spans="1:31" hidden="1" x14ac:dyDescent="0.2">
      <c r="A310" s="1322">
        <v>5</v>
      </c>
      <c r="B310" s="706">
        <v>1</v>
      </c>
      <c r="C310" s="706">
        <f>C9</f>
        <v>35</v>
      </c>
      <c r="D310" s="706">
        <f t="shared" ref="D310:E310" si="220">D9</f>
        <v>-0.1</v>
      </c>
      <c r="E310" s="706">
        <f t="shared" si="220"/>
        <v>-0.5</v>
      </c>
      <c r="F310" s="706" t="str">
        <f t="shared" ref="F310" si="221">F9</f>
        <v>-</v>
      </c>
      <c r="G310" s="706">
        <f>G9</f>
        <v>0.2</v>
      </c>
      <c r="I310" s="1322">
        <v>5</v>
      </c>
      <c r="J310" s="706">
        <v>1</v>
      </c>
      <c r="K310" s="706">
        <f>J20</f>
        <v>70</v>
      </c>
      <c r="L310" s="706">
        <f>K20</f>
        <v>-2.4</v>
      </c>
      <c r="M310" s="706">
        <f>L20</f>
        <v>-1.1000000000000001</v>
      </c>
      <c r="N310" s="706" t="str">
        <f>M20</f>
        <v>-</v>
      </c>
      <c r="O310" s="706">
        <f>N20</f>
        <v>0.64999999999999991</v>
      </c>
      <c r="Q310" s="1323">
        <v>5</v>
      </c>
      <c r="R310" s="707">
        <v>1</v>
      </c>
      <c r="S310" s="707">
        <f>Q9</f>
        <v>1000</v>
      </c>
      <c r="T310" s="707" t="str">
        <f>R9</f>
        <v>-</v>
      </c>
      <c r="U310" s="707" t="str">
        <f>S9</f>
        <v>-</v>
      </c>
      <c r="V310" s="707" t="str">
        <f>T9</f>
        <v>-</v>
      </c>
      <c r="W310" s="450">
        <f>U9</f>
        <v>0</v>
      </c>
      <c r="AE310" s="585"/>
    </row>
    <row r="311" spans="1:31" hidden="1" x14ac:dyDescent="0.2">
      <c r="A311" s="1322"/>
      <c r="B311" s="706">
        <v>2</v>
      </c>
      <c r="C311" s="706">
        <f>C20</f>
        <v>35</v>
      </c>
      <c r="D311" s="706">
        <f t="shared" ref="D311:E311" si="222">D20</f>
        <v>-0.1</v>
      </c>
      <c r="E311" s="706">
        <f t="shared" si="222"/>
        <v>-0.3</v>
      </c>
      <c r="F311" s="706" t="str">
        <f t="shared" ref="F311" si="223">F20</f>
        <v>-</v>
      </c>
      <c r="G311" s="706">
        <f>G20</f>
        <v>9.9999999999999992E-2</v>
      </c>
      <c r="I311" s="1322"/>
      <c r="J311" s="706">
        <v>2</v>
      </c>
      <c r="K311" s="706">
        <f>J20</f>
        <v>70</v>
      </c>
      <c r="L311" s="706">
        <f>K20</f>
        <v>-2.4</v>
      </c>
      <c r="M311" s="706">
        <f>L20</f>
        <v>-1.1000000000000001</v>
      </c>
      <c r="N311" s="706" t="str">
        <f>M20</f>
        <v>-</v>
      </c>
      <c r="O311" s="706">
        <f>N20</f>
        <v>0.64999999999999991</v>
      </c>
      <c r="Q311" s="1322"/>
      <c r="R311" s="706">
        <v>2</v>
      </c>
      <c r="S311" s="706">
        <f>Q20</f>
        <v>1000</v>
      </c>
      <c r="T311" s="706" t="str">
        <f>R20</f>
        <v>-</v>
      </c>
      <c r="U311" s="706" t="str">
        <f>S20</f>
        <v>-</v>
      </c>
      <c r="V311" s="706" t="str">
        <f>T20</f>
        <v>-</v>
      </c>
      <c r="W311" s="439">
        <f>U20</f>
        <v>0</v>
      </c>
      <c r="AE311" s="529"/>
    </row>
    <row r="312" spans="1:31" hidden="1" x14ac:dyDescent="0.2">
      <c r="A312" s="1322"/>
      <c r="B312" s="706">
        <v>3</v>
      </c>
      <c r="C312" s="706">
        <f>C31</f>
        <v>35</v>
      </c>
      <c r="D312" s="706">
        <f t="shared" ref="D312:E312" si="224">D31</f>
        <v>-0.3</v>
      </c>
      <c r="E312" s="706">
        <f t="shared" si="224"/>
        <v>-0.5</v>
      </c>
      <c r="F312" s="706" t="str">
        <f t="shared" ref="F312" si="225">F31</f>
        <v>-</v>
      </c>
      <c r="G312" s="706">
        <f>G31</f>
        <v>0.1</v>
      </c>
      <c r="I312" s="1322"/>
      <c r="J312" s="706">
        <v>3</v>
      </c>
      <c r="K312" s="706">
        <f>J31</f>
        <v>70</v>
      </c>
      <c r="L312" s="706">
        <f>K31</f>
        <v>-2</v>
      </c>
      <c r="M312" s="706">
        <f>L31</f>
        <v>-3.6</v>
      </c>
      <c r="N312" s="706" t="str">
        <f>M31</f>
        <v>-</v>
      </c>
      <c r="O312" s="706">
        <f>N31</f>
        <v>0.8</v>
      </c>
      <c r="Q312" s="1322"/>
      <c r="R312" s="706">
        <v>3</v>
      </c>
      <c r="S312" s="706">
        <f>Q31</f>
        <v>1000</v>
      </c>
      <c r="T312" s="706" t="str">
        <f>R31</f>
        <v>-</v>
      </c>
      <c r="U312" s="706" t="str">
        <f>S31</f>
        <v>-</v>
      </c>
      <c r="V312" s="706" t="str">
        <f>T31</f>
        <v>-</v>
      </c>
      <c r="W312" s="439">
        <f>U31</f>
        <v>0</v>
      </c>
      <c r="AE312" s="529"/>
    </row>
    <row r="313" spans="1:31" hidden="1" x14ac:dyDescent="0.2">
      <c r="A313" s="1322"/>
      <c r="B313" s="706">
        <v>4</v>
      </c>
      <c r="C313" s="706">
        <f>C42</f>
        <v>35</v>
      </c>
      <c r="D313" s="706">
        <f t="shared" ref="D313:E313" si="226">D42</f>
        <v>-0.3</v>
      </c>
      <c r="E313" s="706">
        <f t="shared" si="226"/>
        <v>-0.6</v>
      </c>
      <c r="F313" s="706" t="str">
        <f t="shared" ref="F313" si="227">F42</f>
        <v>-</v>
      </c>
      <c r="G313" s="706">
        <f>G42</f>
        <v>0.15</v>
      </c>
      <c r="I313" s="1322"/>
      <c r="J313" s="706">
        <v>4</v>
      </c>
      <c r="K313" s="706">
        <f>J42</f>
        <v>70</v>
      </c>
      <c r="L313" s="706">
        <f>K42</f>
        <v>-4</v>
      </c>
      <c r="M313" s="706">
        <f>L42</f>
        <v>0.7</v>
      </c>
      <c r="N313" s="706" t="str">
        <f>M42</f>
        <v>-</v>
      </c>
      <c r="O313" s="706">
        <f>N42</f>
        <v>2.35</v>
      </c>
      <c r="Q313" s="1322"/>
      <c r="R313" s="706">
        <v>4</v>
      </c>
      <c r="S313" s="706">
        <f>Q42</f>
        <v>1000</v>
      </c>
      <c r="T313" s="706" t="str">
        <f>R42</f>
        <v>-</v>
      </c>
      <c r="U313" s="706" t="str">
        <f>S42</f>
        <v>-</v>
      </c>
      <c r="V313" s="706" t="str">
        <f>T42</f>
        <v>-</v>
      </c>
      <c r="W313" s="439">
        <f>U42</f>
        <v>0</v>
      </c>
      <c r="AE313" s="529"/>
    </row>
    <row r="314" spans="1:31" hidden="1" x14ac:dyDescent="0.2">
      <c r="A314" s="1322"/>
      <c r="B314" s="706">
        <v>5</v>
      </c>
      <c r="C314" s="706">
        <f>C53</f>
        <v>35</v>
      </c>
      <c r="D314" s="706">
        <f t="shared" ref="D314:E314" si="228">D53</f>
        <v>0.7</v>
      </c>
      <c r="E314" s="706">
        <f t="shared" si="228"/>
        <v>9.9999999999999995E-7</v>
      </c>
      <c r="F314" s="706" t="str">
        <f t="shared" ref="F314" si="229">F53</f>
        <v>-</v>
      </c>
      <c r="G314" s="706">
        <f>G53</f>
        <v>0.34999949999999996</v>
      </c>
      <c r="I314" s="1322"/>
      <c r="J314" s="706">
        <v>5</v>
      </c>
      <c r="K314" s="706">
        <f>J53</f>
        <v>70</v>
      </c>
      <c r="L314" s="706">
        <f>K53</f>
        <v>-4.0999999999999996</v>
      </c>
      <c r="M314" s="706">
        <f>L53</f>
        <v>-2.1</v>
      </c>
      <c r="N314" s="706" t="str">
        <f>M53</f>
        <v>-</v>
      </c>
      <c r="O314" s="706">
        <f>N53</f>
        <v>0.99999999999999978</v>
      </c>
      <c r="Q314" s="1322"/>
      <c r="R314" s="706">
        <v>5</v>
      </c>
      <c r="S314" s="706">
        <f>Q53</f>
        <v>1000</v>
      </c>
      <c r="T314" s="706" t="str">
        <f>R53</f>
        <v>-</v>
      </c>
      <c r="U314" s="706" t="str">
        <f>S53</f>
        <v>-</v>
      </c>
      <c r="V314" s="706" t="str">
        <f>T53</f>
        <v>-</v>
      </c>
      <c r="W314" s="439">
        <f>U53</f>
        <v>0</v>
      </c>
      <c r="AE314" s="529"/>
    </row>
    <row r="315" spans="1:31" hidden="1" x14ac:dyDescent="0.2">
      <c r="A315" s="1322"/>
      <c r="B315" s="706">
        <v>6</v>
      </c>
      <c r="C315" s="706">
        <f>C64</f>
        <v>35</v>
      </c>
      <c r="D315" s="706">
        <f t="shared" ref="D315:E315" si="230">D64</f>
        <v>0.1</v>
      </c>
      <c r="E315" s="706">
        <f t="shared" si="230"/>
        <v>-0.9</v>
      </c>
      <c r="F315" s="706" t="str">
        <f t="shared" ref="F315" si="231">F64</f>
        <v>-</v>
      </c>
      <c r="G315" s="706">
        <f>G64</f>
        <v>0.5</v>
      </c>
      <c r="I315" s="1322"/>
      <c r="J315" s="706">
        <v>6</v>
      </c>
      <c r="K315" s="706">
        <f>J64</f>
        <v>70</v>
      </c>
      <c r="L315" s="706">
        <f>K64</f>
        <v>-6.7</v>
      </c>
      <c r="M315" s="706">
        <f>L64</f>
        <v>0.9</v>
      </c>
      <c r="N315" s="706" t="str">
        <f>M64</f>
        <v>-</v>
      </c>
      <c r="O315" s="706">
        <f>N64</f>
        <v>3.8000000000000003</v>
      </c>
      <c r="Q315" s="1322"/>
      <c r="R315" s="706">
        <v>6</v>
      </c>
      <c r="S315" s="706">
        <f>Q64</f>
        <v>1000</v>
      </c>
      <c r="T315" s="706">
        <f>R64</f>
        <v>0.9</v>
      </c>
      <c r="U315" s="706">
        <f>S64</f>
        <v>-0.3</v>
      </c>
      <c r="V315" s="706" t="str">
        <f>T64</f>
        <v>-</v>
      </c>
      <c r="W315" s="439">
        <f>U64</f>
        <v>0.6</v>
      </c>
      <c r="AE315" s="529"/>
    </row>
    <row r="316" spans="1:31" hidden="1" x14ac:dyDescent="0.2">
      <c r="A316" s="1322"/>
      <c r="B316" s="706">
        <v>7</v>
      </c>
      <c r="C316" s="706">
        <f>C75</f>
        <v>35</v>
      </c>
      <c r="D316" s="706">
        <f t="shared" ref="D316:E316" si="232">D75</f>
        <v>9.9999999999999995E-7</v>
      </c>
      <c r="E316" s="706">
        <f t="shared" si="232"/>
        <v>-1.1000000000000001</v>
      </c>
      <c r="F316" s="706" t="str">
        <f t="shared" ref="F316" si="233">F75</f>
        <v>-</v>
      </c>
      <c r="G316" s="706">
        <f>G75</f>
        <v>0.5500005</v>
      </c>
      <c r="I316" s="1322"/>
      <c r="J316" s="706">
        <v>7</v>
      </c>
      <c r="K316" s="706">
        <f>J75</f>
        <v>70</v>
      </c>
      <c r="L316" s="706">
        <f>K75</f>
        <v>-2.2999999999999998</v>
      </c>
      <c r="M316" s="706">
        <f>L75</f>
        <v>0.9</v>
      </c>
      <c r="N316" s="706" t="str">
        <f>M75</f>
        <v>-</v>
      </c>
      <c r="O316" s="706">
        <f>N75</f>
        <v>1.5999999999999999</v>
      </c>
      <c r="Q316" s="1322"/>
      <c r="R316" s="706">
        <v>7</v>
      </c>
      <c r="S316" s="706">
        <f>Q75</f>
        <v>1000</v>
      </c>
      <c r="T316" s="706">
        <f>R75</f>
        <v>-3.9</v>
      </c>
      <c r="U316" s="706">
        <f>S75</f>
        <v>-0.4</v>
      </c>
      <c r="V316" s="706" t="str">
        <f>T75</f>
        <v>-</v>
      </c>
      <c r="W316" s="439">
        <f>U75</f>
        <v>1.75</v>
      </c>
      <c r="AE316" s="529"/>
    </row>
    <row r="317" spans="1:31" hidden="1" x14ac:dyDescent="0.2">
      <c r="A317" s="1322"/>
      <c r="B317" s="706">
        <v>8</v>
      </c>
      <c r="C317" s="706">
        <f>C86</f>
        <v>35</v>
      </c>
      <c r="D317" s="706">
        <f t="shared" ref="D317:E317" si="234">D86</f>
        <v>-0.1</v>
      </c>
      <c r="E317" s="706">
        <f t="shared" si="234"/>
        <v>-0.5</v>
      </c>
      <c r="F317" s="706" t="str">
        <f t="shared" ref="F317" si="235">F86</f>
        <v>-</v>
      </c>
      <c r="G317" s="706">
        <f>G86</f>
        <v>0.2</v>
      </c>
      <c r="I317" s="1322"/>
      <c r="J317" s="706">
        <v>8</v>
      </c>
      <c r="K317" s="706">
        <f>J86</f>
        <v>70</v>
      </c>
      <c r="L317" s="706">
        <f>K86</f>
        <v>-4.0999999999999996</v>
      </c>
      <c r="M317" s="706">
        <f>L86</f>
        <v>-1.2</v>
      </c>
      <c r="N317" s="706" t="str">
        <f>M86</f>
        <v>-</v>
      </c>
      <c r="O317" s="706">
        <f>N86</f>
        <v>1.4499999999999997</v>
      </c>
      <c r="Q317" s="1322"/>
      <c r="R317" s="706">
        <v>8</v>
      </c>
      <c r="S317" s="706">
        <f>Q86</f>
        <v>1000</v>
      </c>
      <c r="T317" s="706">
        <f>R86</f>
        <v>-3.5</v>
      </c>
      <c r="U317" s="706">
        <f>S86</f>
        <v>0.2</v>
      </c>
      <c r="V317" s="706" t="str">
        <f>T86</f>
        <v>-</v>
      </c>
      <c r="W317" s="439">
        <f>U86</f>
        <v>1.85</v>
      </c>
      <c r="AE317" s="529"/>
    </row>
    <row r="318" spans="1:31" hidden="1" x14ac:dyDescent="0.2">
      <c r="A318" s="1322"/>
      <c r="B318" s="706">
        <v>9</v>
      </c>
      <c r="C318" s="706">
        <f>C97</f>
        <v>35</v>
      </c>
      <c r="D318" s="706">
        <f t="shared" ref="D318:E318" si="236">D97</f>
        <v>-0.5</v>
      </c>
      <c r="E318" s="706" t="str">
        <f t="shared" si="236"/>
        <v>-</v>
      </c>
      <c r="F318" s="706" t="str">
        <f t="shared" ref="F318" si="237">F97</f>
        <v>-</v>
      </c>
      <c r="G318" s="706">
        <f>G97</f>
        <v>0</v>
      </c>
      <c r="I318" s="1322"/>
      <c r="J318" s="706">
        <v>9</v>
      </c>
      <c r="K318" s="706">
        <f>J97</f>
        <v>70</v>
      </c>
      <c r="L318" s="706">
        <f>K97</f>
        <v>-0.6</v>
      </c>
      <c r="M318" s="706" t="str">
        <f>L97</f>
        <v>-</v>
      </c>
      <c r="N318" s="706" t="str">
        <f>M97</f>
        <v>-</v>
      </c>
      <c r="O318" s="706">
        <f>N97</f>
        <v>0</v>
      </c>
      <c r="Q318" s="1322"/>
      <c r="R318" s="706">
        <v>9</v>
      </c>
      <c r="S318" s="706">
        <f>Q97</f>
        <v>1000</v>
      </c>
      <c r="T318" s="706">
        <f>R97</f>
        <v>0.2</v>
      </c>
      <c r="U318" s="706" t="str">
        <f>S97</f>
        <v>-</v>
      </c>
      <c r="V318" s="706" t="str">
        <f>T97</f>
        <v>-</v>
      </c>
      <c r="W318" s="439">
        <f>U97</f>
        <v>0</v>
      </c>
      <c r="AE318" s="529"/>
    </row>
    <row r="319" spans="1:31" hidden="1" x14ac:dyDescent="0.2">
      <c r="A319" s="1322"/>
      <c r="B319" s="706">
        <v>10</v>
      </c>
      <c r="C319" s="706">
        <f>C108</f>
        <v>35</v>
      </c>
      <c r="D319" s="706">
        <f t="shared" ref="D319:E319" si="238">D108</f>
        <v>0.2</v>
      </c>
      <c r="E319" s="706">
        <f t="shared" si="238"/>
        <v>0.8</v>
      </c>
      <c r="F319" s="706" t="str">
        <f t="shared" ref="F319" si="239">F108</f>
        <v>-</v>
      </c>
      <c r="G319" s="706">
        <f>G108</f>
        <v>0.30000000000000004</v>
      </c>
      <c r="I319" s="1322"/>
      <c r="J319" s="706">
        <v>10</v>
      </c>
      <c r="K319" s="706">
        <f>J108</f>
        <v>70</v>
      </c>
      <c r="L319" s="706">
        <f>K108</f>
        <v>-0.3</v>
      </c>
      <c r="M319" s="706">
        <f>L108</f>
        <v>-5.0999999999999996</v>
      </c>
      <c r="N319" s="706" t="str">
        <f>M108</f>
        <v>-</v>
      </c>
      <c r="O319" s="706">
        <f>N108</f>
        <v>2.4</v>
      </c>
      <c r="Q319" s="1322"/>
      <c r="R319" s="706">
        <v>10</v>
      </c>
      <c r="S319" s="706">
        <f>Q108</f>
        <v>1000</v>
      </c>
      <c r="T319" s="706" t="str">
        <f>R108</f>
        <v>-</v>
      </c>
      <c r="U319" s="706" t="str">
        <f>S108</f>
        <v>-</v>
      </c>
      <c r="V319" s="706" t="str">
        <f>T108</f>
        <v>-</v>
      </c>
      <c r="W319" s="439">
        <f>U108</f>
        <v>0</v>
      </c>
      <c r="AE319" s="529"/>
    </row>
    <row r="320" spans="1:31" hidden="1" x14ac:dyDescent="0.2">
      <c r="A320" s="1322"/>
      <c r="B320" s="706">
        <v>11</v>
      </c>
      <c r="C320" s="706">
        <f>C119</f>
        <v>35</v>
      </c>
      <c r="D320" s="706">
        <f t="shared" ref="D320:E320" si="240">D119</f>
        <v>0.5</v>
      </c>
      <c r="E320" s="706">
        <f t="shared" si="240"/>
        <v>0.4</v>
      </c>
      <c r="F320" s="706" t="str">
        <f t="shared" ref="F320" si="241">F119</f>
        <v>-</v>
      </c>
      <c r="G320" s="706">
        <f>G119</f>
        <v>4.9999999999999989E-2</v>
      </c>
      <c r="I320" s="1322"/>
      <c r="J320" s="706">
        <v>11</v>
      </c>
      <c r="K320" s="706">
        <f>J119</f>
        <v>70</v>
      </c>
      <c r="L320" s="706">
        <f>K119</f>
        <v>-3.4</v>
      </c>
      <c r="M320" s="706">
        <f>L119</f>
        <v>-1.7</v>
      </c>
      <c r="N320" s="706" t="str">
        <f>M119</f>
        <v>-</v>
      </c>
      <c r="O320" s="706">
        <f>N119</f>
        <v>0.85</v>
      </c>
      <c r="Q320" s="1322"/>
      <c r="R320" s="706">
        <v>11</v>
      </c>
      <c r="S320" s="706">
        <f>Q119</f>
        <v>1000</v>
      </c>
      <c r="T320" s="706" t="str">
        <f>R119</f>
        <v>-</v>
      </c>
      <c r="U320" s="706" t="str">
        <f>S119</f>
        <v>-</v>
      </c>
      <c r="V320" s="706" t="str">
        <f>T119</f>
        <v>-</v>
      </c>
      <c r="W320" s="439">
        <f>U119</f>
        <v>0</v>
      </c>
      <c r="AE320" s="529"/>
    </row>
    <row r="321" spans="1:31" hidden="1" x14ac:dyDescent="0.2">
      <c r="A321" s="1322"/>
      <c r="B321" s="706">
        <v>12</v>
      </c>
      <c r="C321" s="706">
        <f>C130</f>
        <v>35</v>
      </c>
      <c r="D321" s="706">
        <f t="shared" ref="D321:E321" si="242">D130</f>
        <v>-0.2</v>
      </c>
      <c r="E321" s="706" t="str">
        <f t="shared" si="242"/>
        <v>-</v>
      </c>
      <c r="F321" s="706" t="str">
        <f t="shared" ref="F321" si="243">F130</f>
        <v>-</v>
      </c>
      <c r="G321" s="706">
        <f>G130</f>
        <v>0</v>
      </c>
      <c r="I321" s="1322"/>
      <c r="J321" s="706">
        <v>12</v>
      </c>
      <c r="K321" s="706">
        <f>J130</f>
        <v>70</v>
      </c>
      <c r="L321" s="706">
        <f>K130</f>
        <v>-0.1</v>
      </c>
      <c r="M321" s="706" t="str">
        <f>L130</f>
        <v>-</v>
      </c>
      <c r="N321" s="706" t="str">
        <f>M130</f>
        <v>-</v>
      </c>
      <c r="O321" s="706">
        <f>N130</f>
        <v>0</v>
      </c>
      <c r="Q321" s="1322"/>
      <c r="R321" s="706">
        <v>12</v>
      </c>
      <c r="S321" s="706">
        <f>Q130</f>
        <v>1000</v>
      </c>
      <c r="T321" s="706">
        <f>R130</f>
        <v>-0.8</v>
      </c>
      <c r="U321" s="706" t="str">
        <f>S130</f>
        <v>-</v>
      </c>
      <c r="V321" s="706" t="str">
        <f>T130</f>
        <v>-</v>
      </c>
      <c r="W321" s="439">
        <f>U130</f>
        <v>0</v>
      </c>
      <c r="AE321" s="529"/>
    </row>
    <row r="322" spans="1:31" hidden="1" x14ac:dyDescent="0.2">
      <c r="A322" s="1322"/>
      <c r="B322" s="706">
        <v>13</v>
      </c>
      <c r="C322" s="706">
        <f>C141</f>
        <v>35</v>
      </c>
      <c r="D322" s="706">
        <f t="shared" ref="D322:E322" si="244">D141</f>
        <v>-0.2</v>
      </c>
      <c r="E322" s="706">
        <f t="shared" si="244"/>
        <v>0.3</v>
      </c>
      <c r="F322" s="706" t="str">
        <f t="shared" ref="F322" si="245">F141</f>
        <v>-</v>
      </c>
      <c r="G322" s="706">
        <f>G141</f>
        <v>0.25</v>
      </c>
      <c r="I322" s="1322"/>
      <c r="J322" s="706">
        <v>13</v>
      </c>
      <c r="K322" s="706">
        <f>J141</f>
        <v>70</v>
      </c>
      <c r="L322" s="706">
        <f>K141</f>
        <v>-1.4</v>
      </c>
      <c r="M322" s="706">
        <f>L141</f>
        <v>-1.9</v>
      </c>
      <c r="N322" s="706" t="str">
        <f>M141</f>
        <v>-</v>
      </c>
      <c r="O322" s="706">
        <f>N141</f>
        <v>0.25</v>
      </c>
      <c r="Q322" s="1322"/>
      <c r="R322" s="706">
        <v>13</v>
      </c>
      <c r="S322" s="706">
        <f>Q141</f>
        <v>1005</v>
      </c>
      <c r="T322" s="706">
        <f>R141</f>
        <v>3.6</v>
      </c>
      <c r="U322" s="706">
        <f>S141</f>
        <v>1.1000000000000001</v>
      </c>
      <c r="V322" s="706" t="str">
        <f>T141</f>
        <v>-</v>
      </c>
      <c r="W322" s="439">
        <f>U141</f>
        <v>1.25</v>
      </c>
      <c r="AE322" s="529"/>
    </row>
    <row r="323" spans="1:31" hidden="1" x14ac:dyDescent="0.2">
      <c r="A323" s="1322"/>
      <c r="B323" s="706">
        <v>14</v>
      </c>
      <c r="C323" s="706">
        <f>C152</f>
        <v>35</v>
      </c>
      <c r="D323" s="706">
        <f t="shared" ref="D323:E323" si="246">D152</f>
        <v>-0.6</v>
      </c>
      <c r="E323" s="706">
        <f t="shared" si="246"/>
        <v>-0.6</v>
      </c>
      <c r="F323" s="706" t="str">
        <f t="shared" ref="F323" si="247">F152</f>
        <v>-</v>
      </c>
      <c r="G323" s="706">
        <f>G152</f>
        <v>0</v>
      </c>
      <c r="I323" s="1322"/>
      <c r="J323" s="706">
        <v>14</v>
      </c>
      <c r="K323" s="706">
        <f>J152</f>
        <v>70</v>
      </c>
      <c r="L323" s="706">
        <f>K152</f>
        <v>0.7</v>
      </c>
      <c r="M323" s="706">
        <f>L152</f>
        <v>-0.8</v>
      </c>
      <c r="N323" s="706" t="str">
        <f>M152</f>
        <v>-</v>
      </c>
      <c r="O323" s="706">
        <f>N152</f>
        <v>0.75</v>
      </c>
      <c r="Q323" s="1322"/>
      <c r="R323" s="706">
        <v>14</v>
      </c>
      <c r="S323" s="706">
        <f>Q152</f>
        <v>1005</v>
      </c>
      <c r="T323" s="706">
        <f>R152</f>
        <v>3.8</v>
      </c>
      <c r="U323" s="706">
        <f>S152</f>
        <v>1.1000000000000001</v>
      </c>
      <c r="V323" s="706" t="str">
        <f>T152</f>
        <v>-</v>
      </c>
      <c r="W323" s="439">
        <f>U152</f>
        <v>1.3499999999999999</v>
      </c>
      <c r="AE323" s="529"/>
    </row>
    <row r="324" spans="1:31" hidden="1" x14ac:dyDescent="0.2">
      <c r="A324" s="1322"/>
      <c r="B324" s="706">
        <v>15</v>
      </c>
      <c r="C324" s="706">
        <f>C163</f>
        <v>35</v>
      </c>
      <c r="D324" s="706">
        <f t="shared" ref="D324:E324" si="248">D163</f>
        <v>0.8</v>
      </c>
      <c r="E324" s="706">
        <f t="shared" si="248"/>
        <v>-0.1</v>
      </c>
      <c r="F324" s="706" t="str">
        <f t="shared" ref="F324" si="249">F163</f>
        <v>-</v>
      </c>
      <c r="G324" s="706">
        <f>G163</f>
        <v>0.45</v>
      </c>
      <c r="I324" s="1322"/>
      <c r="J324" s="706">
        <v>15</v>
      </c>
      <c r="K324" s="706">
        <f>J163</f>
        <v>70</v>
      </c>
      <c r="L324" s="706">
        <f>K163</f>
        <v>-0.7</v>
      </c>
      <c r="M324" s="706">
        <f>L163</f>
        <v>-0.8</v>
      </c>
      <c r="N324" s="706" t="str">
        <f>M163</f>
        <v>-</v>
      </c>
      <c r="O324" s="706">
        <f>N163</f>
        <v>5.0000000000000044E-2</v>
      </c>
      <c r="Q324" s="1322"/>
      <c r="R324" s="706">
        <v>15</v>
      </c>
      <c r="S324" s="706">
        <f>Q163</f>
        <v>1005</v>
      </c>
      <c r="T324" s="706">
        <f>R163</f>
        <v>4</v>
      </c>
      <c r="U324" s="706">
        <f>S163</f>
        <v>1.1000000000000001</v>
      </c>
      <c r="V324" s="706" t="str">
        <f>T163</f>
        <v>-</v>
      </c>
      <c r="W324" s="439">
        <f>U163</f>
        <v>1.45</v>
      </c>
      <c r="AE324" s="529"/>
    </row>
    <row r="325" spans="1:31" hidden="1" x14ac:dyDescent="0.2">
      <c r="A325" s="1322"/>
      <c r="B325" s="706">
        <v>16</v>
      </c>
      <c r="C325" s="706">
        <f>C174</f>
        <v>35</v>
      </c>
      <c r="D325" s="706">
        <f t="shared" ref="D325:E325" si="250">D174</f>
        <v>0.1</v>
      </c>
      <c r="E325" s="706" t="str">
        <f t="shared" si="250"/>
        <v>-</v>
      </c>
      <c r="F325" s="706" t="str">
        <f t="shared" ref="F325" si="251">F174</f>
        <v>-</v>
      </c>
      <c r="G325" s="706">
        <f>G174</f>
        <v>0</v>
      </c>
      <c r="I325" s="1322"/>
      <c r="J325" s="706">
        <v>16</v>
      </c>
      <c r="K325" s="706">
        <f>J174</f>
        <v>70</v>
      </c>
      <c r="L325" s="706">
        <f>K174</f>
        <v>-1.8</v>
      </c>
      <c r="M325" s="706" t="str">
        <f>L174</f>
        <v>-</v>
      </c>
      <c r="N325" s="706" t="str">
        <f>M174</f>
        <v>-</v>
      </c>
      <c r="O325" s="706">
        <f>N174</f>
        <v>0</v>
      </c>
      <c r="Q325" s="1322"/>
      <c r="R325" s="706">
        <v>16</v>
      </c>
      <c r="S325" s="706">
        <f>Q174</f>
        <v>1000</v>
      </c>
      <c r="T325" s="706">
        <f>R174</f>
        <v>-0.4</v>
      </c>
      <c r="U325" s="706" t="str">
        <f>S174</f>
        <v>-</v>
      </c>
      <c r="V325" s="706" t="str">
        <f>T174</f>
        <v>-</v>
      </c>
      <c r="W325" s="439">
        <f>U174</f>
        <v>0</v>
      </c>
      <c r="AE325" s="529"/>
    </row>
    <row r="326" spans="1:31" hidden="1" x14ac:dyDescent="0.2">
      <c r="A326" s="1322"/>
      <c r="B326" s="706">
        <v>17</v>
      </c>
      <c r="C326" s="706">
        <f>C185</f>
        <v>35</v>
      </c>
      <c r="D326" s="706">
        <f t="shared" ref="D326:E326" si="252">D185</f>
        <v>-0.5</v>
      </c>
      <c r="E326" s="706" t="str">
        <f t="shared" si="252"/>
        <v>-</v>
      </c>
      <c r="F326" s="706" t="str">
        <f t="shared" ref="F326" si="253">F185</f>
        <v>-</v>
      </c>
      <c r="G326" s="706">
        <f>G185</f>
        <v>0</v>
      </c>
      <c r="I326" s="1322"/>
      <c r="J326" s="706">
        <v>17</v>
      </c>
      <c r="K326" s="706">
        <f>J185</f>
        <v>70</v>
      </c>
      <c r="L326" s="706">
        <f>K185</f>
        <v>-0.3</v>
      </c>
      <c r="M326" s="706" t="str">
        <f>L185</f>
        <v>-</v>
      </c>
      <c r="N326" s="706" t="str">
        <f>M185</f>
        <v>-</v>
      </c>
      <c r="O326" s="706">
        <f>N185</f>
        <v>0</v>
      </c>
      <c r="Q326" s="1322"/>
      <c r="R326" s="706">
        <v>17</v>
      </c>
      <c r="S326" s="706">
        <f>Q185</f>
        <v>1000</v>
      </c>
      <c r="T326" s="706">
        <f>R185</f>
        <v>-0.6</v>
      </c>
      <c r="U326" s="706" t="str">
        <f>S185</f>
        <v>-</v>
      </c>
      <c r="V326" s="706" t="str">
        <f>T185</f>
        <v>-</v>
      </c>
      <c r="W326" s="439">
        <f>U185</f>
        <v>0</v>
      </c>
      <c r="AE326" s="529"/>
    </row>
    <row r="327" spans="1:31" hidden="1" x14ac:dyDescent="0.2">
      <c r="A327" s="1322"/>
      <c r="B327" s="706">
        <v>18</v>
      </c>
      <c r="C327" s="706">
        <f>C196</f>
        <v>35</v>
      </c>
      <c r="D327" s="706">
        <f t="shared" ref="D327:E327" si="254">D196</f>
        <v>-0.3</v>
      </c>
      <c r="E327" s="706" t="str">
        <f t="shared" si="254"/>
        <v>-</v>
      </c>
      <c r="F327" s="706" t="str">
        <f t="shared" ref="F327" si="255">F196</f>
        <v>-</v>
      </c>
      <c r="G327" s="706">
        <f>G196</f>
        <v>0</v>
      </c>
      <c r="I327" s="1322"/>
      <c r="J327" s="706">
        <v>18</v>
      </c>
      <c r="K327" s="706">
        <f>J196</f>
        <v>70</v>
      </c>
      <c r="L327" s="706">
        <f>K196</f>
        <v>-0.3</v>
      </c>
      <c r="M327" s="706" t="str">
        <f>L196</f>
        <v>-</v>
      </c>
      <c r="N327" s="706" t="str">
        <f>M196</f>
        <v>-</v>
      </c>
      <c r="O327" s="706">
        <f>N196</f>
        <v>0</v>
      </c>
      <c r="Q327" s="1322"/>
      <c r="R327" s="706">
        <v>18</v>
      </c>
      <c r="S327" s="706">
        <f>Q196</f>
        <v>1000</v>
      </c>
      <c r="T327" s="706">
        <f>R196</f>
        <v>-0.8</v>
      </c>
      <c r="U327" s="706" t="str">
        <f>S196</f>
        <v>-</v>
      </c>
      <c r="V327" s="706" t="str">
        <f>T196</f>
        <v>-</v>
      </c>
      <c r="W327" s="439">
        <f>U196</f>
        <v>0</v>
      </c>
      <c r="AE327" s="529"/>
    </row>
    <row r="328" spans="1:31" hidden="1" x14ac:dyDescent="0.2">
      <c r="A328" s="1322"/>
      <c r="B328" s="706">
        <v>19</v>
      </c>
      <c r="C328" s="706">
        <f>C207</f>
        <v>35</v>
      </c>
      <c r="D328" s="706">
        <f t="shared" ref="D328:E328" si="256">D207</f>
        <v>-0.1</v>
      </c>
      <c r="E328" s="706" t="str">
        <f t="shared" si="256"/>
        <v>-</v>
      </c>
      <c r="F328" s="706" t="str">
        <f t="shared" ref="F328" si="257">F207</f>
        <v>-</v>
      </c>
      <c r="G328" s="706">
        <f>G207</f>
        <v>0</v>
      </c>
      <c r="I328" s="1322"/>
      <c r="J328" s="706">
        <v>19</v>
      </c>
      <c r="K328" s="706">
        <f>J207</f>
        <v>70</v>
      </c>
      <c r="L328" s="706">
        <f>K207</f>
        <v>-0.7</v>
      </c>
      <c r="M328" s="706" t="str">
        <f>L207</f>
        <v>-</v>
      </c>
      <c r="N328" s="706" t="str">
        <f>M207</f>
        <v>-</v>
      </c>
      <c r="O328" s="706">
        <f>N207</f>
        <v>0</v>
      </c>
      <c r="Q328" s="1322"/>
      <c r="R328" s="706">
        <v>19</v>
      </c>
      <c r="S328" s="706">
        <f>Q207</f>
        <v>1000</v>
      </c>
      <c r="T328" s="706">
        <f>R207</f>
        <v>2.2000000000000002</v>
      </c>
      <c r="U328" s="706" t="str">
        <f>S207</f>
        <v>-</v>
      </c>
      <c r="V328" s="706" t="str">
        <f>T207</f>
        <v>-</v>
      </c>
      <c r="W328" s="439">
        <f>U207</f>
        <v>0</v>
      </c>
      <c r="AE328" s="529"/>
    </row>
    <row r="329" spans="1:31" ht="13.5" hidden="1" thickBot="1" x14ac:dyDescent="0.25">
      <c r="A329" s="1322"/>
      <c r="B329" s="706">
        <v>20</v>
      </c>
      <c r="C329" s="706">
        <f>C218</f>
        <v>34.5</v>
      </c>
      <c r="D329" s="706">
        <f t="shared" ref="D329:E329" si="258">D218</f>
        <v>9.9999999999999995E-7</v>
      </c>
      <c r="E329" s="706" t="str">
        <f t="shared" si="258"/>
        <v>-</v>
      </c>
      <c r="F329" s="706" t="str">
        <f t="shared" ref="F329" si="259">F218</f>
        <v>-</v>
      </c>
      <c r="G329" s="706">
        <f>G218</f>
        <v>0</v>
      </c>
      <c r="I329" s="1322"/>
      <c r="J329" s="706">
        <v>20</v>
      </c>
      <c r="K329" s="706">
        <f>J218</f>
        <v>80.8</v>
      </c>
      <c r="L329" s="706">
        <f>K218</f>
        <v>9.9999999999999995E-7</v>
      </c>
      <c r="M329" s="706" t="str">
        <f>L218</f>
        <v>-</v>
      </c>
      <c r="N329" s="706" t="str">
        <f>M218</f>
        <v>-</v>
      </c>
      <c r="O329" s="706">
        <f>N218</f>
        <v>0</v>
      </c>
      <c r="Q329" s="1324"/>
      <c r="R329" s="708">
        <v>20</v>
      </c>
      <c r="S329" s="708">
        <f>Q218</f>
        <v>1000</v>
      </c>
      <c r="T329" s="708">
        <f>R218</f>
        <v>9.9999999999999995E-7</v>
      </c>
      <c r="U329" s="708" t="str">
        <f>S218</f>
        <v>-</v>
      </c>
      <c r="V329" s="708" t="str">
        <f>T218</f>
        <v>-</v>
      </c>
      <c r="W329" s="447">
        <f>U218</f>
        <v>0</v>
      </c>
      <c r="AE329" s="583"/>
    </row>
    <row r="330" spans="1:31" ht="13.5" hidden="1" thickBot="1" x14ac:dyDescent="0.25">
      <c r="A330" s="455"/>
      <c r="B330" s="455"/>
      <c r="C330" s="455"/>
      <c r="D330" s="455"/>
      <c r="E330" s="455"/>
      <c r="F330" s="570"/>
      <c r="G330" s="455"/>
      <c r="I330" s="455"/>
      <c r="J330" s="455"/>
      <c r="K330" s="455"/>
      <c r="L330" s="455"/>
      <c r="M330" s="455"/>
      <c r="N330" s="570"/>
      <c r="O330" s="455"/>
      <c r="Q330" s="586"/>
      <c r="R330" s="584"/>
      <c r="S330" s="448"/>
      <c r="T330" s="448"/>
      <c r="U330" s="448"/>
      <c r="W330" s="449"/>
      <c r="AE330" s="529"/>
    </row>
    <row r="331" spans="1:31" hidden="1" x14ac:dyDescent="0.2">
      <c r="A331" s="1322">
        <v>6</v>
      </c>
      <c r="B331" s="706">
        <v>1</v>
      </c>
      <c r="C331" s="706">
        <f>C10</f>
        <v>37</v>
      </c>
      <c r="D331" s="706">
        <f t="shared" ref="D331:E331" si="260">D10</f>
        <v>-0.2</v>
      </c>
      <c r="E331" s="706">
        <f t="shared" si="260"/>
        <v>-0.6</v>
      </c>
      <c r="F331" s="706" t="str">
        <f t="shared" ref="F331" si="261">F10</f>
        <v>-</v>
      </c>
      <c r="G331" s="706">
        <f>G10</f>
        <v>0.19999999999999998</v>
      </c>
      <c r="I331" s="1322">
        <v>6</v>
      </c>
      <c r="J331" s="706">
        <v>1</v>
      </c>
      <c r="K331" s="706">
        <f>J10</f>
        <v>80</v>
      </c>
      <c r="L331" s="706">
        <f>K10</f>
        <v>-3.2</v>
      </c>
      <c r="M331" s="706">
        <f>L10</f>
        <v>0.7</v>
      </c>
      <c r="N331" s="706" t="str">
        <f>M10</f>
        <v>-</v>
      </c>
      <c r="O331" s="706">
        <f>N10</f>
        <v>1.9500000000000002</v>
      </c>
      <c r="Q331" s="1323">
        <v>6</v>
      </c>
      <c r="R331" s="707">
        <v>1</v>
      </c>
      <c r="S331" s="707">
        <f>Q10</f>
        <v>1005</v>
      </c>
      <c r="T331" s="707" t="str">
        <f>R10</f>
        <v>-</v>
      </c>
      <c r="U331" s="707" t="str">
        <f>S10</f>
        <v>-</v>
      </c>
      <c r="V331" s="707" t="str">
        <f>T10</f>
        <v>-</v>
      </c>
      <c r="W331" s="450">
        <f>U10</f>
        <v>0</v>
      </c>
      <c r="AE331" s="585"/>
    </row>
    <row r="332" spans="1:31" hidden="1" x14ac:dyDescent="0.2">
      <c r="A332" s="1322"/>
      <c r="B332" s="706">
        <v>2</v>
      </c>
      <c r="C332" s="706">
        <f>C21</f>
        <v>37</v>
      </c>
      <c r="D332" s="706">
        <f t="shared" ref="D332:E332" si="262">D21</f>
        <v>-0.2</v>
      </c>
      <c r="E332" s="706">
        <f t="shared" si="262"/>
        <v>-0.3</v>
      </c>
      <c r="F332" s="706" t="str">
        <f t="shared" ref="F332" si="263">F21</f>
        <v>-</v>
      </c>
      <c r="G332" s="706">
        <f>G21</f>
        <v>4.9999999999999989E-2</v>
      </c>
      <c r="I332" s="1322"/>
      <c r="J332" s="706">
        <v>2</v>
      </c>
      <c r="K332" s="706">
        <f>J21</f>
        <v>80</v>
      </c>
      <c r="L332" s="706">
        <f>K21</f>
        <v>-0.5</v>
      </c>
      <c r="M332" s="706">
        <f>L21</f>
        <v>-0.7</v>
      </c>
      <c r="N332" s="706" t="str">
        <f>M21</f>
        <v>-</v>
      </c>
      <c r="O332" s="706">
        <f>N21</f>
        <v>9.9999999999999978E-2</v>
      </c>
      <c r="Q332" s="1322"/>
      <c r="R332" s="706">
        <v>2</v>
      </c>
      <c r="S332" s="706">
        <f>Q21</f>
        <v>1005</v>
      </c>
      <c r="T332" s="706" t="str">
        <f>R21</f>
        <v>-</v>
      </c>
      <c r="U332" s="706" t="str">
        <f>S21</f>
        <v>-</v>
      </c>
      <c r="V332" s="706" t="str">
        <f>T21</f>
        <v>-</v>
      </c>
      <c r="W332" s="439">
        <f>U21</f>
        <v>0</v>
      </c>
      <c r="AE332" s="529"/>
    </row>
    <row r="333" spans="1:31" hidden="1" x14ac:dyDescent="0.2">
      <c r="A333" s="1322"/>
      <c r="B333" s="706">
        <v>3</v>
      </c>
      <c r="C333" s="706">
        <f>C32</f>
        <v>37</v>
      </c>
      <c r="D333" s="706">
        <f t="shared" ref="D333:E333" si="264">D32</f>
        <v>-0.2</v>
      </c>
      <c r="E333" s="706">
        <f t="shared" si="264"/>
        <v>-0.6</v>
      </c>
      <c r="F333" s="706" t="str">
        <f t="shared" ref="F333" si="265">F32</f>
        <v>-</v>
      </c>
      <c r="G333" s="706">
        <f>G32</f>
        <v>0.19999999999999998</v>
      </c>
      <c r="I333" s="1322"/>
      <c r="J333" s="706">
        <v>3</v>
      </c>
      <c r="K333" s="706">
        <f>J32</f>
        <v>80</v>
      </c>
      <c r="L333" s="706">
        <f>K32</f>
        <v>-0.8</v>
      </c>
      <c r="M333" s="706">
        <f>L32</f>
        <v>-2.9</v>
      </c>
      <c r="N333" s="706" t="str">
        <f>M32</f>
        <v>-</v>
      </c>
      <c r="O333" s="706">
        <f>N32</f>
        <v>1.0499999999999998</v>
      </c>
      <c r="Q333" s="1322"/>
      <c r="R333" s="706">
        <v>3</v>
      </c>
      <c r="S333" s="706">
        <f>Q32</f>
        <v>1005</v>
      </c>
      <c r="T333" s="706" t="str">
        <f>R32</f>
        <v>-</v>
      </c>
      <c r="U333" s="706" t="str">
        <f>S32</f>
        <v>-</v>
      </c>
      <c r="V333" s="706" t="str">
        <f>T32</f>
        <v>-</v>
      </c>
      <c r="W333" s="439">
        <f>U32</f>
        <v>0</v>
      </c>
      <c r="AE333" s="529"/>
    </row>
    <row r="334" spans="1:31" hidden="1" x14ac:dyDescent="0.2">
      <c r="A334" s="1322"/>
      <c r="B334" s="706">
        <v>4</v>
      </c>
      <c r="C334" s="706">
        <f>C43</f>
        <v>37</v>
      </c>
      <c r="D334" s="706">
        <f t="shared" ref="D334:E334" si="266">D43</f>
        <v>-0.4</v>
      </c>
      <c r="E334" s="706">
        <f t="shared" si="266"/>
        <v>-0.6</v>
      </c>
      <c r="F334" s="706" t="str">
        <f t="shared" ref="F334" si="267">F43</f>
        <v>-</v>
      </c>
      <c r="G334" s="706">
        <f>G43</f>
        <v>9.9999999999999978E-2</v>
      </c>
      <c r="I334" s="1322"/>
      <c r="J334" s="706">
        <v>4</v>
      </c>
      <c r="K334" s="706">
        <f>J43</f>
        <v>80</v>
      </c>
      <c r="L334" s="706">
        <f>K43</f>
        <v>-3.8</v>
      </c>
      <c r="M334" s="706">
        <f>L43</f>
        <v>1.9</v>
      </c>
      <c r="N334" s="706" t="str">
        <f>M43</f>
        <v>-</v>
      </c>
      <c r="O334" s="706">
        <f>N43</f>
        <v>2.8499999999999996</v>
      </c>
      <c r="Q334" s="1322"/>
      <c r="R334" s="706">
        <v>4</v>
      </c>
      <c r="S334" s="706">
        <f>Q43</f>
        <v>1005</v>
      </c>
      <c r="T334" s="706" t="str">
        <f>R43</f>
        <v>-</v>
      </c>
      <c r="U334" s="706" t="str">
        <f>S43</f>
        <v>-</v>
      </c>
      <c r="V334" s="706" t="str">
        <f>T43</f>
        <v>-</v>
      </c>
      <c r="W334" s="439">
        <f>U43</f>
        <v>0</v>
      </c>
      <c r="AE334" s="529"/>
    </row>
    <row r="335" spans="1:31" hidden="1" x14ac:dyDescent="0.2">
      <c r="A335" s="1322"/>
      <c r="B335" s="706">
        <v>5</v>
      </c>
      <c r="C335" s="706">
        <f>C54</f>
        <v>37</v>
      </c>
      <c r="D335" s="706">
        <f t="shared" ref="D335:E335" si="268">D54</f>
        <v>0.7</v>
      </c>
      <c r="E335" s="706">
        <f t="shared" si="268"/>
        <v>9.9999999999999995E-7</v>
      </c>
      <c r="F335" s="706" t="str">
        <f t="shared" ref="F335" si="269">F54</f>
        <v>-</v>
      </c>
      <c r="G335" s="706">
        <f>G54</f>
        <v>0.34999949999999996</v>
      </c>
      <c r="I335" s="1322"/>
      <c r="J335" s="706">
        <v>5</v>
      </c>
      <c r="K335" s="706">
        <f>J54</f>
        <v>80</v>
      </c>
      <c r="L335" s="706">
        <f>K54</f>
        <v>-3</v>
      </c>
      <c r="M335" s="706">
        <f>L54</f>
        <v>0.2</v>
      </c>
      <c r="N335" s="706" t="str">
        <f>M54</f>
        <v>-</v>
      </c>
      <c r="O335" s="706">
        <f>N54</f>
        <v>1.6</v>
      </c>
      <c r="Q335" s="1322"/>
      <c r="R335" s="706">
        <v>5</v>
      </c>
      <c r="S335" s="706">
        <f>Q54</f>
        <v>1005</v>
      </c>
      <c r="T335" s="706" t="str">
        <f>R54</f>
        <v>-</v>
      </c>
      <c r="U335" s="706" t="str">
        <f>S54</f>
        <v>-</v>
      </c>
      <c r="V335" s="706" t="str">
        <f>T54</f>
        <v>-</v>
      </c>
      <c r="W335" s="439">
        <f>U54</f>
        <v>0</v>
      </c>
      <c r="AE335" s="529"/>
    </row>
    <row r="336" spans="1:31" hidden="1" x14ac:dyDescent="0.2">
      <c r="A336" s="1322"/>
      <c r="B336" s="706">
        <v>6</v>
      </c>
      <c r="C336" s="706">
        <f>C65</f>
        <v>37</v>
      </c>
      <c r="D336" s="706">
        <f t="shared" ref="D336:E336" si="270">D65</f>
        <v>0.1</v>
      </c>
      <c r="E336" s="706">
        <f t="shared" si="270"/>
        <v>-1.1000000000000001</v>
      </c>
      <c r="F336" s="706" t="str">
        <f t="shared" ref="F336" si="271">F65</f>
        <v>-</v>
      </c>
      <c r="G336" s="706">
        <f>G65</f>
        <v>0.60000000000000009</v>
      </c>
      <c r="I336" s="1322"/>
      <c r="J336" s="706">
        <v>6</v>
      </c>
      <c r="K336" s="706">
        <f>J65</f>
        <v>80</v>
      </c>
      <c r="L336" s="706">
        <f>K65</f>
        <v>-6.3</v>
      </c>
      <c r="M336" s="706">
        <f>L65</f>
        <v>0.8</v>
      </c>
      <c r="N336" s="706" t="str">
        <f>M65</f>
        <v>-</v>
      </c>
      <c r="O336" s="706">
        <f>N65</f>
        <v>3.55</v>
      </c>
      <c r="Q336" s="1322"/>
      <c r="R336" s="706">
        <v>6</v>
      </c>
      <c r="S336" s="706">
        <f>Q65</f>
        <v>1005</v>
      </c>
      <c r="T336" s="706">
        <f>R65</f>
        <v>0.9</v>
      </c>
      <c r="U336" s="706">
        <f>S65</f>
        <v>-0.3</v>
      </c>
      <c r="V336" s="706" t="str">
        <f>T65</f>
        <v>-</v>
      </c>
      <c r="W336" s="439">
        <f>U65</f>
        <v>0.6</v>
      </c>
      <c r="AE336" s="529"/>
    </row>
    <row r="337" spans="1:31" hidden="1" x14ac:dyDescent="0.2">
      <c r="A337" s="1322"/>
      <c r="B337" s="706">
        <v>7</v>
      </c>
      <c r="C337" s="706">
        <f>C76</f>
        <v>37</v>
      </c>
      <c r="D337" s="706">
        <f t="shared" ref="D337:E337" si="272">D76</f>
        <v>9.9999999999999995E-7</v>
      </c>
      <c r="E337" s="706">
        <f t="shared" si="272"/>
        <v>-1.4</v>
      </c>
      <c r="F337" s="706" t="str">
        <f t="shared" ref="F337" si="273">F76</f>
        <v>-</v>
      </c>
      <c r="G337" s="706">
        <f>G76</f>
        <v>0.70000049999999991</v>
      </c>
      <c r="I337" s="1322"/>
      <c r="J337" s="706">
        <v>7</v>
      </c>
      <c r="K337" s="706">
        <f>J76</f>
        <v>80</v>
      </c>
      <c r="L337" s="706">
        <f>K76</f>
        <v>-2.6</v>
      </c>
      <c r="M337" s="706">
        <f>L76</f>
        <v>1.2</v>
      </c>
      <c r="N337" s="706" t="str">
        <f>M76</f>
        <v>-</v>
      </c>
      <c r="O337" s="706">
        <f>N76</f>
        <v>1.9</v>
      </c>
      <c r="Q337" s="1322"/>
      <c r="R337" s="706">
        <v>7</v>
      </c>
      <c r="S337" s="706">
        <f>Q76</f>
        <v>1005</v>
      </c>
      <c r="T337" s="706">
        <f>R76</f>
        <v>-3.8</v>
      </c>
      <c r="U337" s="706">
        <f>S76</f>
        <v>-0.5</v>
      </c>
      <c r="V337" s="706" t="str">
        <f>T76</f>
        <v>-</v>
      </c>
      <c r="W337" s="439">
        <f>U76</f>
        <v>1.65</v>
      </c>
      <c r="AE337" s="529"/>
    </row>
    <row r="338" spans="1:31" hidden="1" x14ac:dyDescent="0.2">
      <c r="A338" s="1322"/>
      <c r="B338" s="706">
        <v>8</v>
      </c>
      <c r="C338" s="706">
        <f>C87</f>
        <v>37</v>
      </c>
      <c r="D338" s="706">
        <f t="shared" ref="D338:E338" si="274">D87</f>
        <v>-0.1</v>
      </c>
      <c r="E338" s="706">
        <f t="shared" si="274"/>
        <v>-0.5</v>
      </c>
      <c r="F338" s="706" t="str">
        <f t="shared" ref="F338" si="275">F87</f>
        <v>-</v>
      </c>
      <c r="G338" s="706">
        <f>G87</f>
        <v>0.2</v>
      </c>
      <c r="I338" s="1322"/>
      <c r="J338" s="706">
        <v>8</v>
      </c>
      <c r="K338" s="706">
        <f>J87</f>
        <v>80</v>
      </c>
      <c r="L338" s="706">
        <f>K87</f>
        <v>-4.5</v>
      </c>
      <c r="M338" s="706">
        <f>L87</f>
        <v>-1.2</v>
      </c>
      <c r="N338" s="706" t="str">
        <f>M87</f>
        <v>-</v>
      </c>
      <c r="O338" s="706">
        <f>N87</f>
        <v>1.65</v>
      </c>
      <c r="Q338" s="1322"/>
      <c r="R338" s="706">
        <v>8</v>
      </c>
      <c r="S338" s="706">
        <f>Q87</f>
        <v>1005</v>
      </c>
      <c r="T338" s="706">
        <f>R87</f>
        <v>-3.4</v>
      </c>
      <c r="U338" s="706">
        <f>S87</f>
        <v>0.2</v>
      </c>
      <c r="V338" s="706" t="str">
        <f>T87</f>
        <v>-</v>
      </c>
      <c r="W338" s="439">
        <f>U87</f>
        <v>1.8</v>
      </c>
      <c r="AE338" s="529"/>
    </row>
    <row r="339" spans="1:31" hidden="1" x14ac:dyDescent="0.2">
      <c r="A339" s="1322"/>
      <c r="B339" s="706">
        <v>9</v>
      </c>
      <c r="C339" s="706">
        <f>C98</f>
        <v>37</v>
      </c>
      <c r="D339" s="706">
        <f t="shared" ref="D339:E339" si="276">D98</f>
        <v>-0.5</v>
      </c>
      <c r="E339" s="706" t="str">
        <f t="shared" si="276"/>
        <v>-</v>
      </c>
      <c r="F339" s="706" t="str">
        <f t="shared" ref="F339" si="277">F98</f>
        <v>-</v>
      </c>
      <c r="G339" s="706">
        <f>G98</f>
        <v>0</v>
      </c>
      <c r="I339" s="1322"/>
      <c r="J339" s="706">
        <v>9</v>
      </c>
      <c r="K339" s="706">
        <f>J98</f>
        <v>80</v>
      </c>
      <c r="L339" s="706">
        <f>K98</f>
        <v>-0.5</v>
      </c>
      <c r="M339" s="706" t="str">
        <f>L98</f>
        <v>-</v>
      </c>
      <c r="N339" s="706" t="str">
        <f>M98</f>
        <v>-</v>
      </c>
      <c r="O339" s="706">
        <f>N98</f>
        <v>0</v>
      </c>
      <c r="Q339" s="1322"/>
      <c r="R339" s="706">
        <v>9</v>
      </c>
      <c r="S339" s="706">
        <f>Q98</f>
        <v>1005</v>
      </c>
      <c r="T339" s="706">
        <f>R98</f>
        <v>0.2</v>
      </c>
      <c r="U339" s="706" t="str">
        <f>S98</f>
        <v>-</v>
      </c>
      <c r="V339" s="706" t="str">
        <f>T98</f>
        <v>-</v>
      </c>
      <c r="W339" s="439">
        <f>U98</f>
        <v>0</v>
      </c>
      <c r="AE339" s="529"/>
    </row>
    <row r="340" spans="1:31" hidden="1" x14ac:dyDescent="0.2">
      <c r="A340" s="1322"/>
      <c r="B340" s="706">
        <v>10</v>
      </c>
      <c r="C340" s="706">
        <f>C109</f>
        <v>37</v>
      </c>
      <c r="D340" s="706">
        <f t="shared" ref="D340:E340" si="278">D109</f>
        <v>0.2</v>
      </c>
      <c r="E340" s="706">
        <f t="shared" si="278"/>
        <v>0.4</v>
      </c>
      <c r="F340" s="706" t="str">
        <f t="shared" ref="F340" si="279">F109</f>
        <v>-</v>
      </c>
      <c r="G340" s="706">
        <f>G109</f>
        <v>0.1</v>
      </c>
      <c r="I340" s="1322"/>
      <c r="J340" s="706">
        <v>10</v>
      </c>
      <c r="K340" s="706">
        <f>J109</f>
        <v>80</v>
      </c>
      <c r="L340" s="706">
        <f>K109</f>
        <v>2.2000000000000002</v>
      </c>
      <c r="M340" s="706">
        <f>L109</f>
        <v>-4.7</v>
      </c>
      <c r="N340" s="706" t="str">
        <f>M109</f>
        <v>-</v>
      </c>
      <c r="O340" s="706">
        <f>N109</f>
        <v>3.45</v>
      </c>
      <c r="Q340" s="1322"/>
      <c r="R340" s="706">
        <v>10</v>
      </c>
      <c r="S340" s="706">
        <f>Q109</f>
        <v>1005</v>
      </c>
      <c r="T340" s="706" t="str">
        <f>R109</f>
        <v>-</v>
      </c>
      <c r="U340" s="706" t="str">
        <f>S109</f>
        <v>-</v>
      </c>
      <c r="V340" s="706" t="str">
        <f>T109</f>
        <v>-</v>
      </c>
      <c r="W340" s="439">
        <f>U109</f>
        <v>0</v>
      </c>
      <c r="AE340" s="529"/>
    </row>
    <row r="341" spans="1:31" hidden="1" x14ac:dyDescent="0.2">
      <c r="A341" s="1322"/>
      <c r="B341" s="706">
        <v>11</v>
      </c>
      <c r="C341" s="706">
        <f>C120</f>
        <v>37</v>
      </c>
      <c r="D341" s="706">
        <f t="shared" ref="D341:E341" si="280">D120</f>
        <v>0.5</v>
      </c>
      <c r="E341" s="706">
        <f t="shared" si="280"/>
        <v>0.5</v>
      </c>
      <c r="F341" s="706" t="str">
        <f t="shared" ref="F341" si="281">F120</f>
        <v>-</v>
      </c>
      <c r="G341" s="706">
        <f>G120</f>
        <v>0</v>
      </c>
      <c r="I341" s="1322"/>
      <c r="J341" s="706">
        <v>11</v>
      </c>
      <c r="K341" s="706">
        <f>J120</f>
        <v>80</v>
      </c>
      <c r="L341" s="706">
        <f>K120</f>
        <v>-1.4</v>
      </c>
      <c r="M341" s="706">
        <f>L120</f>
        <v>2.6</v>
      </c>
      <c r="N341" s="706" t="str">
        <f>M120</f>
        <v>-</v>
      </c>
      <c r="O341" s="706">
        <f>N120</f>
        <v>2</v>
      </c>
      <c r="Q341" s="1322"/>
      <c r="R341" s="706">
        <v>11</v>
      </c>
      <c r="S341" s="706">
        <f>Q120</f>
        <v>1005</v>
      </c>
      <c r="T341" s="706" t="str">
        <f>R120</f>
        <v>-</v>
      </c>
      <c r="U341" s="706" t="str">
        <f>S120</f>
        <v>-</v>
      </c>
      <c r="V341" s="706" t="str">
        <f>T120</f>
        <v>-</v>
      </c>
      <c r="W341" s="439">
        <f>U120</f>
        <v>0</v>
      </c>
      <c r="AE341" s="529"/>
    </row>
    <row r="342" spans="1:31" hidden="1" x14ac:dyDescent="0.2">
      <c r="A342" s="1322"/>
      <c r="B342" s="706">
        <v>12</v>
      </c>
      <c r="C342" s="706">
        <f>C131</f>
        <v>37</v>
      </c>
      <c r="D342" s="706">
        <f t="shared" ref="D342:E342" si="282">D131</f>
        <v>-0.3</v>
      </c>
      <c r="E342" s="706" t="str">
        <f t="shared" si="282"/>
        <v>-</v>
      </c>
      <c r="F342" s="706" t="str">
        <f t="shared" ref="F342" si="283">F131</f>
        <v>-</v>
      </c>
      <c r="G342" s="706">
        <f>G131</f>
        <v>0</v>
      </c>
      <c r="I342" s="1322"/>
      <c r="J342" s="706">
        <v>12</v>
      </c>
      <c r="K342" s="706">
        <f>J131</f>
        <v>80</v>
      </c>
      <c r="L342" s="706">
        <f>K131</f>
        <v>-0.5</v>
      </c>
      <c r="M342" s="706" t="str">
        <f>L131</f>
        <v>-</v>
      </c>
      <c r="N342" s="706" t="str">
        <f>M131</f>
        <v>-</v>
      </c>
      <c r="O342" s="706">
        <f>N131</f>
        <v>0</v>
      </c>
      <c r="Q342" s="1322"/>
      <c r="R342" s="706">
        <v>12</v>
      </c>
      <c r="S342" s="706">
        <f>Q131</f>
        <v>1005</v>
      </c>
      <c r="T342" s="706">
        <f>R131</f>
        <v>-0.8</v>
      </c>
      <c r="U342" s="706" t="str">
        <f>S131</f>
        <v>-</v>
      </c>
      <c r="V342" s="706" t="str">
        <f>T131</f>
        <v>-</v>
      </c>
      <c r="W342" s="439">
        <f>U131</f>
        <v>0</v>
      </c>
      <c r="AE342" s="529"/>
    </row>
    <row r="343" spans="1:31" hidden="1" x14ac:dyDescent="0.2">
      <c r="A343" s="1322"/>
      <c r="B343" s="706">
        <v>13</v>
      </c>
      <c r="C343" s="706">
        <f>C142</f>
        <v>37</v>
      </c>
      <c r="D343" s="706">
        <f t="shared" ref="D343:E343" si="284">D142</f>
        <v>-0.2</v>
      </c>
      <c r="E343" s="706">
        <f t="shared" si="284"/>
        <v>0.4</v>
      </c>
      <c r="F343" s="706" t="str">
        <f t="shared" ref="F343" si="285">F142</f>
        <v>-</v>
      </c>
      <c r="G343" s="706">
        <f>G142</f>
        <v>0.30000000000000004</v>
      </c>
      <c r="I343" s="1322"/>
      <c r="J343" s="706">
        <v>13</v>
      </c>
      <c r="K343" s="706">
        <f>J142</f>
        <v>80</v>
      </c>
      <c r="L343" s="706">
        <f>K142</f>
        <v>-1.2</v>
      </c>
      <c r="M343" s="706">
        <f>L142</f>
        <v>-2.5</v>
      </c>
      <c r="N343" s="706" t="str">
        <f>M142</f>
        <v>-</v>
      </c>
      <c r="O343" s="706">
        <f>N142</f>
        <v>0.65</v>
      </c>
      <c r="Q343" s="1322"/>
      <c r="R343" s="706">
        <v>13</v>
      </c>
      <c r="S343" s="706">
        <f>Q142</f>
        <v>1010</v>
      </c>
      <c r="T343" s="706">
        <f>R142</f>
        <v>3.5</v>
      </c>
      <c r="U343" s="706">
        <f>S142</f>
        <v>1.1000000000000001</v>
      </c>
      <c r="V343" s="706" t="str">
        <f>T142</f>
        <v>-</v>
      </c>
      <c r="W343" s="439">
        <f>U142</f>
        <v>1.2</v>
      </c>
      <c r="AE343" s="529"/>
    </row>
    <row r="344" spans="1:31" hidden="1" x14ac:dyDescent="0.2">
      <c r="A344" s="1322"/>
      <c r="B344" s="706">
        <v>14</v>
      </c>
      <c r="C344" s="706">
        <f>C153</f>
        <v>37</v>
      </c>
      <c r="D344" s="706">
        <f t="shared" ref="D344:E344" si="286">D153</f>
        <v>-0.7</v>
      </c>
      <c r="E344" s="706">
        <f t="shared" si="286"/>
        <v>-0.8</v>
      </c>
      <c r="F344" s="706" t="str">
        <f t="shared" ref="F344" si="287">F153</f>
        <v>-</v>
      </c>
      <c r="G344" s="706">
        <f>G153</f>
        <v>5.0000000000000044E-2</v>
      </c>
      <c r="I344" s="1322"/>
      <c r="J344" s="706">
        <v>14</v>
      </c>
      <c r="K344" s="706">
        <f>J153</f>
        <v>80</v>
      </c>
      <c r="L344" s="706">
        <f>K153</f>
        <v>1.1000000000000001</v>
      </c>
      <c r="M344" s="706">
        <f>L153</f>
        <v>-0.9</v>
      </c>
      <c r="N344" s="706" t="str">
        <f>M153</f>
        <v>-</v>
      </c>
      <c r="O344" s="706">
        <f>N153</f>
        <v>1</v>
      </c>
      <c r="Q344" s="1322"/>
      <c r="R344" s="706">
        <v>14</v>
      </c>
      <c r="S344" s="706">
        <f>Q153</f>
        <v>1010</v>
      </c>
      <c r="T344" s="706">
        <f>R153</f>
        <v>3.7</v>
      </c>
      <c r="U344" s="706">
        <f>S153</f>
        <v>1.1000000000000001</v>
      </c>
      <c r="V344" s="706" t="str">
        <f>T153</f>
        <v>-</v>
      </c>
      <c r="W344" s="439">
        <f>U153</f>
        <v>1.3</v>
      </c>
      <c r="AE344" s="529"/>
    </row>
    <row r="345" spans="1:31" hidden="1" x14ac:dyDescent="0.2">
      <c r="A345" s="1322"/>
      <c r="B345" s="706">
        <v>15</v>
      </c>
      <c r="C345" s="706">
        <f>C164</f>
        <v>37</v>
      </c>
      <c r="D345" s="706">
        <f t="shared" ref="D345:E345" si="288">D164</f>
        <v>1</v>
      </c>
      <c r="E345" s="706">
        <f t="shared" si="288"/>
        <v>-0.1</v>
      </c>
      <c r="F345" s="706" t="str">
        <f t="shared" ref="F345" si="289">F164</f>
        <v>-</v>
      </c>
      <c r="G345" s="706">
        <f>G164</f>
        <v>0.55000000000000004</v>
      </c>
      <c r="I345" s="1322"/>
      <c r="J345" s="706">
        <v>15</v>
      </c>
      <c r="K345" s="706">
        <f>J164</f>
        <v>80</v>
      </c>
      <c r="L345" s="706">
        <f>K164</f>
        <v>-0.4</v>
      </c>
      <c r="M345" s="706">
        <f>L164</f>
        <v>-1.3</v>
      </c>
      <c r="N345" s="706" t="str">
        <f>M164</f>
        <v>-</v>
      </c>
      <c r="O345" s="706">
        <f>N164</f>
        <v>0.45</v>
      </c>
      <c r="Q345" s="1322"/>
      <c r="R345" s="706">
        <v>15</v>
      </c>
      <c r="S345" s="706">
        <f>Q164</f>
        <v>1010</v>
      </c>
      <c r="T345" s="706">
        <f>R164</f>
        <v>3.9</v>
      </c>
      <c r="U345" s="706">
        <f>S164</f>
        <v>1.1000000000000001</v>
      </c>
      <c r="V345" s="706" t="str">
        <f>T164</f>
        <v>-</v>
      </c>
      <c r="W345" s="439">
        <f>U164</f>
        <v>1.4</v>
      </c>
      <c r="AE345" s="529"/>
    </row>
    <row r="346" spans="1:31" hidden="1" x14ac:dyDescent="0.2">
      <c r="A346" s="1322"/>
      <c r="B346" s="706">
        <v>16</v>
      </c>
      <c r="C346" s="706">
        <f>C175</f>
        <v>37</v>
      </c>
      <c r="D346" s="706">
        <f t="shared" ref="D346:E346" si="290">D175</f>
        <v>9.9999999999999995E-7</v>
      </c>
      <c r="E346" s="706" t="str">
        <f t="shared" si="290"/>
        <v>-</v>
      </c>
      <c r="F346" s="706" t="str">
        <f t="shared" ref="F346" si="291">F175</f>
        <v>-</v>
      </c>
      <c r="G346" s="706">
        <f>G175</f>
        <v>0</v>
      </c>
      <c r="I346" s="1322"/>
      <c r="J346" s="706">
        <v>16</v>
      </c>
      <c r="K346" s="706">
        <f>J175</f>
        <v>80</v>
      </c>
      <c r="L346" s="706">
        <f>K175</f>
        <v>-2.2999999999999998</v>
      </c>
      <c r="M346" s="706" t="str">
        <f>L175</f>
        <v>-</v>
      </c>
      <c r="N346" s="706" t="str">
        <f>M175</f>
        <v>-</v>
      </c>
      <c r="O346" s="706">
        <f>N175</f>
        <v>0</v>
      </c>
      <c r="Q346" s="1322"/>
      <c r="R346" s="706">
        <v>16</v>
      </c>
      <c r="S346" s="706">
        <f>Q175</f>
        <v>1005</v>
      </c>
      <c r="T346" s="706">
        <f>R175</f>
        <v>-0.4</v>
      </c>
      <c r="U346" s="706" t="str">
        <f>S175</f>
        <v>-</v>
      </c>
      <c r="V346" s="706" t="str">
        <f>T175</f>
        <v>-</v>
      </c>
      <c r="W346" s="439">
        <f>U175</f>
        <v>0</v>
      </c>
      <c r="AE346" s="529"/>
    </row>
    <row r="347" spans="1:31" hidden="1" x14ac:dyDescent="0.2">
      <c r="A347" s="1322"/>
      <c r="B347" s="706">
        <v>17</v>
      </c>
      <c r="C347" s="706">
        <f>C186</f>
        <v>37</v>
      </c>
      <c r="D347" s="706">
        <f t="shared" ref="D347:E347" si="292">D186</f>
        <v>-0.6</v>
      </c>
      <c r="E347" s="706" t="str">
        <f t="shared" si="292"/>
        <v>-</v>
      </c>
      <c r="F347" s="706" t="str">
        <f t="shared" ref="F347" si="293">F186</f>
        <v>-</v>
      </c>
      <c r="G347" s="706">
        <f>G186</f>
        <v>0</v>
      </c>
      <c r="I347" s="1322"/>
      <c r="J347" s="706">
        <v>17</v>
      </c>
      <c r="K347" s="706">
        <f>J186</f>
        <v>80</v>
      </c>
      <c r="L347" s="706">
        <f>K186</f>
        <v>-0.8</v>
      </c>
      <c r="M347" s="706" t="str">
        <f>L186</f>
        <v>-</v>
      </c>
      <c r="N347" s="706" t="str">
        <f>M186</f>
        <v>-</v>
      </c>
      <c r="O347" s="706">
        <f>N186</f>
        <v>0</v>
      </c>
      <c r="Q347" s="1322"/>
      <c r="R347" s="706">
        <v>17</v>
      </c>
      <c r="S347" s="706">
        <f>Q186</f>
        <v>1005</v>
      </c>
      <c r="T347" s="706">
        <f>R186</f>
        <v>-0.6</v>
      </c>
      <c r="U347" s="706" t="str">
        <f>S186</f>
        <v>-</v>
      </c>
      <c r="V347" s="706" t="str">
        <f>T186</f>
        <v>-</v>
      </c>
      <c r="W347" s="439">
        <f>U186</f>
        <v>0</v>
      </c>
      <c r="AE347" s="529"/>
    </row>
    <row r="348" spans="1:31" hidden="1" x14ac:dyDescent="0.2">
      <c r="A348" s="1322"/>
      <c r="B348" s="706">
        <v>18</v>
      </c>
      <c r="C348" s="706">
        <f>C197</f>
        <v>37</v>
      </c>
      <c r="D348" s="706">
        <f t="shared" ref="D348:E348" si="294">D197</f>
        <v>-0.3</v>
      </c>
      <c r="E348" s="706" t="str">
        <f t="shared" si="294"/>
        <v>-</v>
      </c>
      <c r="F348" s="706" t="str">
        <f t="shared" ref="F348" si="295">F197</f>
        <v>-</v>
      </c>
      <c r="G348" s="706">
        <f>G197</f>
        <v>0</v>
      </c>
      <c r="I348" s="1322"/>
      <c r="J348" s="706">
        <v>18</v>
      </c>
      <c r="K348" s="706">
        <f>J197</f>
        <v>80</v>
      </c>
      <c r="L348" s="706">
        <f>K197</f>
        <v>-0.5</v>
      </c>
      <c r="M348" s="706" t="str">
        <f>L197</f>
        <v>-</v>
      </c>
      <c r="N348" s="706" t="str">
        <f>M197</f>
        <v>-</v>
      </c>
      <c r="O348" s="706">
        <f>N197</f>
        <v>0</v>
      </c>
      <c r="Q348" s="1322"/>
      <c r="R348" s="706">
        <v>18</v>
      </c>
      <c r="S348" s="706">
        <f>Q197</f>
        <v>1005</v>
      </c>
      <c r="T348" s="706">
        <f>R197</f>
        <v>-0.7</v>
      </c>
      <c r="U348" s="706" t="str">
        <f>S197</f>
        <v>-</v>
      </c>
      <c r="V348" s="706" t="str">
        <f>T197</f>
        <v>-</v>
      </c>
      <c r="W348" s="439">
        <f>U197</f>
        <v>0</v>
      </c>
      <c r="AE348" s="529"/>
    </row>
    <row r="349" spans="1:31" hidden="1" x14ac:dyDescent="0.2">
      <c r="A349" s="1322"/>
      <c r="B349" s="706">
        <v>19</v>
      </c>
      <c r="C349" s="706">
        <f>C208</f>
        <v>37</v>
      </c>
      <c r="D349" s="706">
        <f t="shared" ref="D349:E349" si="296">D208</f>
        <v>9.9999999999999995E-7</v>
      </c>
      <c r="E349" s="706" t="str">
        <f t="shared" si="296"/>
        <v>-</v>
      </c>
      <c r="F349" s="706" t="str">
        <f t="shared" ref="F349" si="297">F208</f>
        <v>-</v>
      </c>
      <c r="G349" s="706">
        <f>G208</f>
        <v>0</v>
      </c>
      <c r="I349" s="1322"/>
      <c r="J349" s="706">
        <v>19</v>
      </c>
      <c r="K349" s="706">
        <f>J208</f>
        <v>80</v>
      </c>
      <c r="L349" s="706">
        <f>K208</f>
        <v>-0.9</v>
      </c>
      <c r="M349" s="706" t="str">
        <f>L208</f>
        <v>-</v>
      </c>
      <c r="N349" s="706" t="str">
        <f>M208</f>
        <v>-</v>
      </c>
      <c r="O349" s="706">
        <f>N208</f>
        <v>0</v>
      </c>
      <c r="Q349" s="1322"/>
      <c r="R349" s="706">
        <v>19</v>
      </c>
      <c r="S349" s="706">
        <f>Q208</f>
        <v>1005</v>
      </c>
      <c r="T349" s="706">
        <f>R208</f>
        <v>2.2000000000000002</v>
      </c>
      <c r="U349" s="706" t="str">
        <f>S208</f>
        <v>-</v>
      </c>
      <c r="V349" s="706" t="str">
        <f>T208</f>
        <v>-</v>
      </c>
      <c r="W349" s="439">
        <f>U208</f>
        <v>0</v>
      </c>
      <c r="AE349" s="529"/>
    </row>
    <row r="350" spans="1:31" ht="13.5" hidden="1" thickBot="1" x14ac:dyDescent="0.25">
      <c r="A350" s="1322"/>
      <c r="B350" s="706">
        <v>20</v>
      </c>
      <c r="C350" s="706">
        <f>C219</f>
        <v>39.5</v>
      </c>
      <c r="D350" s="706">
        <f t="shared" ref="D350:E350" si="298">D219</f>
        <v>9.9999999999999995E-7</v>
      </c>
      <c r="E350" s="706" t="str">
        <f t="shared" si="298"/>
        <v>-</v>
      </c>
      <c r="F350" s="706" t="str">
        <f t="shared" ref="F350" si="299">F219</f>
        <v>-</v>
      </c>
      <c r="G350" s="706">
        <f>G219</f>
        <v>0</v>
      </c>
      <c r="I350" s="1322"/>
      <c r="J350" s="706">
        <v>20</v>
      </c>
      <c r="K350" s="706">
        <f>J219</f>
        <v>88.7</v>
      </c>
      <c r="L350" s="706">
        <f>K219</f>
        <v>9.9999999999999995E-7</v>
      </c>
      <c r="M350" s="706" t="str">
        <f>L219</f>
        <v>-</v>
      </c>
      <c r="N350" s="706" t="str">
        <f>M219</f>
        <v>-</v>
      </c>
      <c r="O350" s="706">
        <f>N219</f>
        <v>0</v>
      </c>
      <c r="Q350" s="1324"/>
      <c r="R350" s="708">
        <v>20</v>
      </c>
      <c r="S350" s="708">
        <f>Q219</f>
        <v>1005</v>
      </c>
      <c r="T350" s="708">
        <f>R219</f>
        <v>9.9999999999999995E-7</v>
      </c>
      <c r="U350" s="708" t="str">
        <f>S219</f>
        <v>-</v>
      </c>
      <c r="V350" s="708" t="str">
        <f>T219</f>
        <v>-</v>
      </c>
      <c r="W350" s="447">
        <f>U219</f>
        <v>0</v>
      </c>
      <c r="AE350" s="583"/>
    </row>
    <row r="351" spans="1:31" ht="13.5" hidden="1" thickBot="1" x14ac:dyDescent="0.25">
      <c r="A351" s="455"/>
      <c r="B351" s="455"/>
      <c r="C351" s="455"/>
      <c r="D351" s="455"/>
      <c r="E351" s="455"/>
      <c r="F351" s="570"/>
      <c r="G351" s="455"/>
      <c r="I351" s="455"/>
      <c r="J351" s="455"/>
      <c r="K351" s="455"/>
      <c r="L351" s="455"/>
      <c r="M351" s="455"/>
      <c r="N351" s="570"/>
      <c r="O351" s="455"/>
      <c r="Q351" s="462"/>
      <c r="R351" s="584"/>
      <c r="S351" s="448"/>
      <c r="T351" s="448"/>
      <c r="U351" s="448"/>
      <c r="W351" s="449"/>
      <c r="AE351" s="529"/>
    </row>
    <row r="352" spans="1:31" hidden="1" x14ac:dyDescent="0.2">
      <c r="A352" s="1322">
        <v>7</v>
      </c>
      <c r="B352" s="706">
        <v>1</v>
      </c>
      <c r="C352" s="706">
        <f>C11</f>
        <v>40</v>
      </c>
      <c r="D352" s="706">
        <f t="shared" ref="D352:E352" si="300">D11</f>
        <v>-0.3</v>
      </c>
      <c r="E352" s="706">
        <f t="shared" si="300"/>
        <v>-0.8</v>
      </c>
      <c r="F352" s="706" t="str">
        <f t="shared" ref="F352" si="301">F11</f>
        <v>-</v>
      </c>
      <c r="G352" s="706">
        <f>G11</f>
        <v>0.25</v>
      </c>
      <c r="I352" s="1322">
        <v>7</v>
      </c>
      <c r="J352" s="706">
        <v>1</v>
      </c>
      <c r="K352" s="706">
        <f>J11</f>
        <v>90</v>
      </c>
      <c r="L352" s="706">
        <f>K11</f>
        <v>-1.6</v>
      </c>
      <c r="M352" s="706">
        <f>L11</f>
        <v>4.5</v>
      </c>
      <c r="N352" s="706" t="str">
        <f>M11</f>
        <v>-</v>
      </c>
      <c r="O352" s="706">
        <f>N11</f>
        <v>3.05</v>
      </c>
      <c r="Q352" s="1325">
        <v>7</v>
      </c>
      <c r="R352" s="707">
        <v>1</v>
      </c>
      <c r="S352" s="707">
        <f>Q11</f>
        <v>1020</v>
      </c>
      <c r="T352" s="707" t="str">
        <f>R11</f>
        <v>-</v>
      </c>
      <c r="U352" s="707" t="str">
        <f>S11</f>
        <v>-</v>
      </c>
      <c r="V352" s="707" t="str">
        <f>T11</f>
        <v>-</v>
      </c>
      <c r="W352" s="450">
        <f>U11</f>
        <v>0</v>
      </c>
      <c r="AE352" s="585"/>
    </row>
    <row r="353" spans="1:31" hidden="1" x14ac:dyDescent="0.2">
      <c r="A353" s="1322"/>
      <c r="B353" s="706">
        <v>2</v>
      </c>
      <c r="C353" s="706">
        <f>C22</f>
        <v>40</v>
      </c>
      <c r="D353" s="706">
        <f t="shared" ref="D353:E353" si="302">D22</f>
        <v>-0.1</v>
      </c>
      <c r="E353" s="706">
        <f t="shared" si="302"/>
        <v>-0.3</v>
      </c>
      <c r="F353" s="706" t="str">
        <f t="shared" ref="F353" si="303">F22</f>
        <v>-</v>
      </c>
      <c r="G353" s="706">
        <f>G22</f>
        <v>9.9999999999999992E-2</v>
      </c>
      <c r="I353" s="1322"/>
      <c r="J353" s="706">
        <v>2</v>
      </c>
      <c r="K353" s="706">
        <f>J22</f>
        <v>90</v>
      </c>
      <c r="L353" s="706">
        <f>K22</f>
        <v>1.7</v>
      </c>
      <c r="M353" s="706">
        <f>L22</f>
        <v>-0.3</v>
      </c>
      <c r="N353" s="706" t="str">
        <f>M22</f>
        <v>-</v>
      </c>
      <c r="O353" s="706">
        <f>N22</f>
        <v>1</v>
      </c>
      <c r="Q353" s="1326"/>
      <c r="R353" s="706">
        <v>2</v>
      </c>
      <c r="S353" s="706">
        <f>Q22</f>
        <v>1020</v>
      </c>
      <c r="T353" s="706" t="str">
        <f>R22</f>
        <v>-</v>
      </c>
      <c r="U353" s="706" t="str">
        <f>S22</f>
        <v>-</v>
      </c>
      <c r="V353" s="706" t="str">
        <f>T22</f>
        <v>-</v>
      </c>
      <c r="W353" s="439">
        <f>U22</f>
        <v>0</v>
      </c>
      <c r="AE353" s="529"/>
    </row>
    <row r="354" spans="1:31" hidden="1" x14ac:dyDescent="0.2">
      <c r="A354" s="1322"/>
      <c r="B354" s="706">
        <v>3</v>
      </c>
      <c r="C354" s="706">
        <f>C33</f>
        <v>40</v>
      </c>
      <c r="D354" s="706">
        <f t="shared" ref="D354:E354" si="304">D33</f>
        <v>0.2</v>
      </c>
      <c r="E354" s="706">
        <f t="shared" si="304"/>
        <v>-0.7</v>
      </c>
      <c r="F354" s="706" t="str">
        <f t="shared" ref="F354" si="305">F33</f>
        <v>-</v>
      </c>
      <c r="G354" s="706">
        <f>G33</f>
        <v>0.44999999999999996</v>
      </c>
      <c r="I354" s="1322"/>
      <c r="J354" s="706">
        <v>3</v>
      </c>
      <c r="K354" s="706">
        <f>J33</f>
        <v>90</v>
      </c>
      <c r="L354" s="706">
        <f>K33</f>
        <v>0.3</v>
      </c>
      <c r="M354" s="706">
        <f>L33</f>
        <v>-2</v>
      </c>
      <c r="N354" s="706" t="str">
        <f>M33</f>
        <v>-</v>
      </c>
      <c r="O354" s="706">
        <f>N33</f>
        <v>1.1499999999999999</v>
      </c>
      <c r="Q354" s="1326"/>
      <c r="R354" s="706">
        <v>3</v>
      </c>
      <c r="S354" s="706">
        <f>Q33</f>
        <v>1020</v>
      </c>
      <c r="T354" s="706" t="str">
        <f>R33</f>
        <v>-</v>
      </c>
      <c r="U354" s="706" t="str">
        <f>S33</f>
        <v>-</v>
      </c>
      <c r="V354" s="706" t="str">
        <f>T33</f>
        <v>-</v>
      </c>
      <c r="W354" s="439">
        <f>U33</f>
        <v>0</v>
      </c>
      <c r="AE354" s="529"/>
    </row>
    <row r="355" spans="1:31" hidden="1" x14ac:dyDescent="0.2">
      <c r="A355" s="1322"/>
      <c r="B355" s="706">
        <v>4</v>
      </c>
      <c r="C355" s="706">
        <f>C44</f>
        <v>40</v>
      </c>
      <c r="D355" s="706">
        <f t="shared" ref="D355:E355" si="306">D44</f>
        <v>-0.5</v>
      </c>
      <c r="E355" s="706">
        <f t="shared" si="306"/>
        <v>-0.6</v>
      </c>
      <c r="F355" s="706" t="str">
        <f t="shared" ref="F355" si="307">F44</f>
        <v>-</v>
      </c>
      <c r="G355" s="706">
        <f>G44</f>
        <v>4.9999999999999989E-2</v>
      </c>
      <c r="I355" s="1322"/>
      <c r="J355" s="706">
        <v>4</v>
      </c>
      <c r="K355" s="706">
        <f>J44</f>
        <v>90</v>
      </c>
      <c r="L355" s="706">
        <f>K44</f>
        <v>-3.5</v>
      </c>
      <c r="M355" s="706">
        <f>L44</f>
        <v>3.3</v>
      </c>
      <c r="N355" s="706" t="str">
        <f>M44</f>
        <v>-</v>
      </c>
      <c r="O355" s="706">
        <f>N44</f>
        <v>3.4</v>
      </c>
      <c r="Q355" s="1326"/>
      <c r="R355" s="706">
        <v>4</v>
      </c>
      <c r="S355" s="706">
        <f>Q44</f>
        <v>1020</v>
      </c>
      <c r="T355" s="706" t="str">
        <f>R44</f>
        <v>-</v>
      </c>
      <c r="U355" s="706" t="str">
        <f>S44</f>
        <v>-</v>
      </c>
      <c r="V355" s="706" t="str">
        <f>T44</f>
        <v>-</v>
      </c>
      <c r="W355" s="439">
        <f>U44</f>
        <v>0</v>
      </c>
      <c r="AE355" s="529"/>
    </row>
    <row r="356" spans="1:31" hidden="1" x14ac:dyDescent="0.2">
      <c r="A356" s="1322"/>
      <c r="B356" s="706">
        <v>5</v>
      </c>
      <c r="C356" s="706">
        <f>C55</f>
        <v>40</v>
      </c>
      <c r="D356" s="706">
        <f t="shared" ref="D356:E356" si="308">D55</f>
        <v>0.7</v>
      </c>
      <c r="E356" s="706">
        <f t="shared" si="308"/>
        <v>-0.1</v>
      </c>
      <c r="F356" s="706" t="str">
        <f t="shared" ref="F356" si="309">F55</f>
        <v>-</v>
      </c>
      <c r="G356" s="706">
        <f>G55</f>
        <v>0.39999999999999997</v>
      </c>
      <c r="I356" s="1322"/>
      <c r="J356" s="706">
        <v>5</v>
      </c>
      <c r="K356" s="706">
        <f>J55</f>
        <v>90</v>
      </c>
      <c r="L356" s="706">
        <f>K55</f>
        <v>-1.8</v>
      </c>
      <c r="M356" s="706">
        <f>L55</f>
        <v>2.7</v>
      </c>
      <c r="N356" s="706" t="str">
        <f>M55</f>
        <v>-</v>
      </c>
      <c r="O356" s="706">
        <f>N55</f>
        <v>2.25</v>
      </c>
      <c r="Q356" s="1326"/>
      <c r="R356" s="706">
        <v>5</v>
      </c>
      <c r="S356" s="706">
        <f>Q55</f>
        <v>1020</v>
      </c>
      <c r="T356" s="706" t="str">
        <f>R55</f>
        <v>-</v>
      </c>
      <c r="U356" s="706" t="str">
        <f>S55</f>
        <v>-</v>
      </c>
      <c r="V356" s="706" t="str">
        <f>T55</f>
        <v>-</v>
      </c>
      <c r="W356" s="439">
        <f>U55</f>
        <v>0</v>
      </c>
      <c r="AE356" s="529"/>
    </row>
    <row r="357" spans="1:31" hidden="1" x14ac:dyDescent="0.2">
      <c r="A357" s="1322"/>
      <c r="B357" s="706">
        <v>6</v>
      </c>
      <c r="C357" s="706">
        <f>C66</f>
        <v>40</v>
      </c>
      <c r="D357" s="706">
        <f t="shared" ref="D357:E357" si="310">D66</f>
        <v>0.1</v>
      </c>
      <c r="E357" s="706">
        <f t="shared" si="310"/>
        <v>-1.4</v>
      </c>
      <c r="F357" s="706" t="str">
        <f t="shared" ref="F357" si="311">F66</f>
        <v>-</v>
      </c>
      <c r="G357" s="706">
        <f>G66</f>
        <v>0.75</v>
      </c>
      <c r="I357" s="1322"/>
      <c r="J357" s="706">
        <v>6</v>
      </c>
      <c r="K357" s="706">
        <f>J66</f>
        <v>90</v>
      </c>
      <c r="L357" s="706">
        <f>K66</f>
        <v>-5.2</v>
      </c>
      <c r="M357" s="706">
        <f>L66</f>
        <v>0.7</v>
      </c>
      <c r="N357" s="706" t="str">
        <f>M66</f>
        <v>-</v>
      </c>
      <c r="O357" s="706">
        <f>N66</f>
        <v>2.95</v>
      </c>
      <c r="Q357" s="1326"/>
      <c r="R357" s="706">
        <v>6</v>
      </c>
      <c r="S357" s="706">
        <f>Q66</f>
        <v>1020</v>
      </c>
      <c r="T357" s="706">
        <f>R66</f>
        <v>0.9</v>
      </c>
      <c r="U357" s="706">
        <f>S66</f>
        <v>9.9999999999999995E-7</v>
      </c>
      <c r="V357" s="706" t="str">
        <f>T66</f>
        <v>-</v>
      </c>
      <c r="W357" s="439">
        <f>U66</f>
        <v>0.4499995</v>
      </c>
      <c r="AE357" s="529"/>
    </row>
    <row r="358" spans="1:31" hidden="1" x14ac:dyDescent="0.2">
      <c r="A358" s="1322"/>
      <c r="B358" s="706">
        <v>7</v>
      </c>
      <c r="C358" s="706">
        <f>C77</f>
        <v>40</v>
      </c>
      <c r="D358" s="706">
        <f t="shared" ref="D358:E358" si="312">D77</f>
        <v>0.1</v>
      </c>
      <c r="E358" s="706">
        <f t="shared" si="312"/>
        <v>-1.7</v>
      </c>
      <c r="F358" s="706" t="str">
        <f t="shared" ref="F358" si="313">F77</f>
        <v>-</v>
      </c>
      <c r="G358" s="706">
        <f>G77</f>
        <v>0.9</v>
      </c>
      <c r="I358" s="1322"/>
      <c r="J358" s="706">
        <v>7</v>
      </c>
      <c r="K358" s="706">
        <f>J77</f>
        <v>90</v>
      </c>
      <c r="L358" s="706">
        <f>K77</f>
        <v>-3</v>
      </c>
      <c r="M358" s="706">
        <f>L77</f>
        <v>1.8</v>
      </c>
      <c r="N358" s="706" t="str">
        <f>M77</f>
        <v>-</v>
      </c>
      <c r="O358" s="706">
        <f>N77</f>
        <v>2.4</v>
      </c>
      <c r="Q358" s="1326"/>
      <c r="R358" s="706">
        <v>7</v>
      </c>
      <c r="S358" s="706">
        <f>Q77</f>
        <v>1020</v>
      </c>
      <c r="T358" s="706">
        <f>R77</f>
        <v>-3.8</v>
      </c>
      <c r="U358" s="706">
        <f>S77</f>
        <v>9.9999999999999995E-7</v>
      </c>
      <c r="V358" s="706" t="str">
        <f>T77</f>
        <v>-</v>
      </c>
      <c r="W358" s="439">
        <f>U77</f>
        <v>1.9000005</v>
      </c>
      <c r="AE358" s="529"/>
    </row>
    <row r="359" spans="1:31" hidden="1" x14ac:dyDescent="0.2">
      <c r="A359" s="1322"/>
      <c r="B359" s="706">
        <v>8</v>
      </c>
      <c r="C359" s="706">
        <f>C88</f>
        <v>40</v>
      </c>
      <c r="D359" s="706">
        <f t="shared" ref="D359:E359" si="314">D88</f>
        <v>9.9999999999999995E-7</v>
      </c>
      <c r="E359" s="706">
        <f t="shared" si="314"/>
        <v>-0.4</v>
      </c>
      <c r="F359" s="706" t="str">
        <f t="shared" ref="F359" si="315">F88</f>
        <v>-</v>
      </c>
      <c r="G359" s="706">
        <f>G88</f>
        <v>0.2000005</v>
      </c>
      <c r="I359" s="1322"/>
      <c r="J359" s="706">
        <v>8</v>
      </c>
      <c r="K359" s="706">
        <f>J88</f>
        <v>90</v>
      </c>
      <c r="L359" s="706">
        <f>K88</f>
        <v>-4.9000000000000004</v>
      </c>
      <c r="M359" s="706">
        <f>L88</f>
        <v>-1.3</v>
      </c>
      <c r="N359" s="706" t="str">
        <f>M88</f>
        <v>-</v>
      </c>
      <c r="O359" s="706">
        <f>N88</f>
        <v>1.8000000000000003</v>
      </c>
      <c r="Q359" s="1326"/>
      <c r="R359" s="706">
        <v>8</v>
      </c>
      <c r="S359" s="706">
        <f>Q88</f>
        <v>1020</v>
      </c>
      <c r="T359" s="706">
        <f>R88</f>
        <v>-3.4</v>
      </c>
      <c r="U359" s="706">
        <f>S88</f>
        <v>9.9999999999999995E-7</v>
      </c>
      <c r="V359" s="706" t="str">
        <f>T88</f>
        <v>-</v>
      </c>
      <c r="W359" s="439">
        <f>U88</f>
        <v>1.7000005</v>
      </c>
      <c r="AE359" s="529"/>
    </row>
    <row r="360" spans="1:31" hidden="1" x14ac:dyDescent="0.2">
      <c r="A360" s="1322"/>
      <c r="B360" s="706">
        <v>9</v>
      </c>
      <c r="C360" s="706">
        <f>C99</f>
        <v>40</v>
      </c>
      <c r="D360" s="706">
        <f t="shared" ref="D360:E360" si="316">D99</f>
        <v>-0.4</v>
      </c>
      <c r="E360" s="706" t="str">
        <f t="shared" si="316"/>
        <v>-</v>
      </c>
      <c r="F360" s="706" t="str">
        <f t="shared" ref="F360" si="317">F99</f>
        <v>-</v>
      </c>
      <c r="G360" s="706">
        <f>G99</f>
        <v>0</v>
      </c>
      <c r="I360" s="1322"/>
      <c r="J360" s="706">
        <v>9</v>
      </c>
      <c r="K360" s="706">
        <f>J99</f>
        <v>90</v>
      </c>
      <c r="L360" s="706">
        <f>K99</f>
        <v>-0.2</v>
      </c>
      <c r="M360" s="706" t="str">
        <f>L99</f>
        <v>-</v>
      </c>
      <c r="N360" s="706" t="str">
        <f>M99</f>
        <v>-</v>
      </c>
      <c r="O360" s="706">
        <f>N99</f>
        <v>0</v>
      </c>
      <c r="Q360" s="1326"/>
      <c r="R360" s="706">
        <v>9</v>
      </c>
      <c r="S360" s="706">
        <f>Q99</f>
        <v>1020</v>
      </c>
      <c r="T360" s="706">
        <f>R99</f>
        <v>9.9999999999999995E-7</v>
      </c>
      <c r="U360" s="706" t="str">
        <f>S99</f>
        <v>-</v>
      </c>
      <c r="V360" s="706" t="str">
        <f>T99</f>
        <v>-</v>
      </c>
      <c r="W360" s="439">
        <f>U99</f>
        <v>0</v>
      </c>
      <c r="AE360" s="529"/>
    </row>
    <row r="361" spans="1:31" hidden="1" x14ac:dyDescent="0.2">
      <c r="A361" s="1322"/>
      <c r="B361" s="706">
        <v>10</v>
      </c>
      <c r="C361" s="706">
        <f>C110</f>
        <v>40</v>
      </c>
      <c r="D361" s="706">
        <f t="shared" ref="D361:E361" si="318">D110</f>
        <v>0.2</v>
      </c>
      <c r="E361" s="706">
        <f t="shared" si="318"/>
        <v>9.9999999999999995E-7</v>
      </c>
      <c r="F361" s="706" t="str">
        <f t="shared" ref="F361" si="319">F110</f>
        <v>-</v>
      </c>
      <c r="G361" s="706">
        <f>G110</f>
        <v>9.9999500000000005E-2</v>
      </c>
      <c r="I361" s="1322"/>
      <c r="J361" s="706">
        <v>10</v>
      </c>
      <c r="K361" s="706">
        <f>J110</f>
        <v>90</v>
      </c>
      <c r="L361" s="706">
        <f>K110</f>
        <v>5.4</v>
      </c>
      <c r="M361" s="706">
        <f>L110</f>
        <v>9.9999999999999995E-7</v>
      </c>
      <c r="N361" s="706" t="str">
        <f>M110</f>
        <v>-</v>
      </c>
      <c r="O361" s="706">
        <f>N110</f>
        <v>2.6999995000000001</v>
      </c>
      <c r="Q361" s="1326"/>
      <c r="R361" s="706">
        <v>10</v>
      </c>
      <c r="S361" s="706">
        <f>Q110</f>
        <v>1020</v>
      </c>
      <c r="T361" s="706" t="str">
        <f>R110</f>
        <v>-</v>
      </c>
      <c r="U361" s="706" t="str">
        <f>S110</f>
        <v>-</v>
      </c>
      <c r="V361" s="706" t="str">
        <f>T110</f>
        <v>-</v>
      </c>
      <c r="W361" s="439">
        <f>U110</f>
        <v>0</v>
      </c>
      <c r="AE361" s="529"/>
    </row>
    <row r="362" spans="1:31" hidden="1" x14ac:dyDescent="0.2">
      <c r="A362" s="1322"/>
      <c r="B362" s="706">
        <v>11</v>
      </c>
      <c r="C362" s="706">
        <f>C121</f>
        <v>40</v>
      </c>
      <c r="D362" s="706">
        <f t="shared" ref="D362:E362" si="320">D121</f>
        <v>0.5</v>
      </c>
      <c r="E362" s="706">
        <f t="shared" si="320"/>
        <v>9.9999999999999995E-7</v>
      </c>
      <c r="F362" s="706" t="str">
        <f t="shared" ref="F362" si="321">F121</f>
        <v>-</v>
      </c>
      <c r="G362" s="706">
        <f>G121</f>
        <v>0.24999950000000001</v>
      </c>
      <c r="I362" s="1322"/>
      <c r="J362" s="706">
        <v>11</v>
      </c>
      <c r="K362" s="706">
        <f>J121</f>
        <v>90</v>
      </c>
      <c r="L362" s="706">
        <f>K121</f>
        <v>1.3</v>
      </c>
      <c r="M362" s="706">
        <f>L121</f>
        <v>9.9999999999999995E-7</v>
      </c>
      <c r="N362" s="706" t="str">
        <f>M121</f>
        <v>-</v>
      </c>
      <c r="O362" s="706">
        <f>N121</f>
        <v>0.64999950000000006</v>
      </c>
      <c r="Q362" s="1326"/>
      <c r="R362" s="706">
        <v>11</v>
      </c>
      <c r="S362" s="706">
        <f>Q121</f>
        <v>1020</v>
      </c>
      <c r="T362" s="706" t="str">
        <f>R121</f>
        <v>-</v>
      </c>
      <c r="U362" s="706" t="str">
        <f>S121</f>
        <v>-</v>
      </c>
      <c r="V362" s="706" t="str">
        <f>T121</f>
        <v>-</v>
      </c>
      <c r="W362" s="439">
        <f>U121</f>
        <v>0</v>
      </c>
      <c r="AE362" s="529"/>
    </row>
    <row r="363" spans="1:31" hidden="1" x14ac:dyDescent="0.2">
      <c r="A363" s="1322"/>
      <c r="B363" s="706">
        <v>12</v>
      </c>
      <c r="C363" s="706">
        <f>C132</f>
        <v>40</v>
      </c>
      <c r="D363" s="706">
        <f t="shared" ref="D363:E363" si="322">D132</f>
        <v>-0.4</v>
      </c>
      <c r="E363" s="706" t="str">
        <f t="shared" si="322"/>
        <v>-</v>
      </c>
      <c r="F363" s="706" t="str">
        <f t="shared" ref="F363" si="323">F132</f>
        <v>-</v>
      </c>
      <c r="G363" s="706">
        <f>G132</f>
        <v>0</v>
      </c>
      <c r="I363" s="1322"/>
      <c r="J363" s="706">
        <v>12</v>
      </c>
      <c r="K363" s="706">
        <f>J132</f>
        <v>90</v>
      </c>
      <c r="L363" s="706">
        <f>K132</f>
        <v>-0.9</v>
      </c>
      <c r="M363" s="706" t="str">
        <f>L132</f>
        <v>-</v>
      </c>
      <c r="N363" s="706" t="str">
        <f>M132</f>
        <v>-</v>
      </c>
      <c r="O363" s="706">
        <f>N132</f>
        <v>0</v>
      </c>
      <c r="Q363" s="1326"/>
      <c r="R363" s="706">
        <v>12</v>
      </c>
      <c r="S363" s="706">
        <f>Q132</f>
        <v>1020</v>
      </c>
      <c r="T363" s="706">
        <f>R132</f>
        <v>9.9999999999999995E-7</v>
      </c>
      <c r="U363" s="706" t="str">
        <f>S132</f>
        <v>-</v>
      </c>
      <c r="V363" s="706" t="str">
        <f>T132</f>
        <v>-</v>
      </c>
      <c r="W363" s="439">
        <f>U132</f>
        <v>0</v>
      </c>
      <c r="AE363" s="529"/>
    </row>
    <row r="364" spans="1:31" hidden="1" x14ac:dyDescent="0.2">
      <c r="A364" s="1322"/>
      <c r="B364" s="706">
        <v>13</v>
      </c>
      <c r="C364" s="706">
        <f>C143</f>
        <v>40</v>
      </c>
      <c r="D364" s="706">
        <f t="shared" ref="D364:E364" si="324">D143</f>
        <v>-0.2</v>
      </c>
      <c r="E364" s="706">
        <f t="shared" si="324"/>
        <v>0.5</v>
      </c>
      <c r="F364" s="706" t="str">
        <f t="shared" ref="F364" si="325">F143</f>
        <v>-</v>
      </c>
      <c r="G364" s="706">
        <f>G143</f>
        <v>0.35</v>
      </c>
      <c r="I364" s="1322"/>
      <c r="J364" s="706">
        <v>13</v>
      </c>
      <c r="K364" s="706">
        <f>J143</f>
        <v>90</v>
      </c>
      <c r="L364" s="706">
        <f>K143</f>
        <v>-1</v>
      </c>
      <c r="M364" s="706">
        <f>L143</f>
        <v>-3.2</v>
      </c>
      <c r="N364" s="706" t="str">
        <f>M143</f>
        <v>-</v>
      </c>
      <c r="O364" s="706">
        <f>N143</f>
        <v>1.1000000000000001</v>
      </c>
      <c r="Q364" s="1326"/>
      <c r="R364" s="706">
        <v>13</v>
      </c>
      <c r="S364" s="706">
        <f>Q143</f>
        <v>1020</v>
      </c>
      <c r="T364" s="706">
        <f>R143</f>
        <v>9.9999999999999995E-7</v>
      </c>
      <c r="U364" s="706">
        <f>S143</f>
        <v>9.9999999999999995E-7</v>
      </c>
      <c r="V364" s="706" t="str">
        <f>T143</f>
        <v>-</v>
      </c>
      <c r="W364" s="439">
        <f>U143</f>
        <v>0</v>
      </c>
      <c r="AE364" s="529"/>
    </row>
    <row r="365" spans="1:31" hidden="1" x14ac:dyDescent="0.2">
      <c r="A365" s="1322"/>
      <c r="B365" s="706">
        <v>14</v>
      </c>
      <c r="C365" s="706">
        <f>C154</f>
        <v>40</v>
      </c>
      <c r="D365" s="706">
        <f t="shared" ref="D365:E365" si="326">D154</f>
        <v>-0.8</v>
      </c>
      <c r="E365" s="706">
        <f t="shared" si="326"/>
        <v>-1.1000000000000001</v>
      </c>
      <c r="F365" s="706" t="str">
        <f t="shared" ref="F365" si="327">F154</f>
        <v>-</v>
      </c>
      <c r="G365" s="706">
        <f>G154</f>
        <v>0.15000000000000002</v>
      </c>
      <c r="I365" s="1322"/>
      <c r="J365" s="706">
        <v>14</v>
      </c>
      <c r="K365" s="706">
        <f>J154</f>
        <v>90</v>
      </c>
      <c r="L365" s="706">
        <f>K154</f>
        <v>1.5</v>
      </c>
      <c r="M365" s="706">
        <f>L154</f>
        <v>-0.8</v>
      </c>
      <c r="N365" s="706" t="str">
        <f>M154</f>
        <v>-</v>
      </c>
      <c r="O365" s="706">
        <f>N154</f>
        <v>1.1499999999999999</v>
      </c>
      <c r="Q365" s="1326"/>
      <c r="R365" s="706">
        <v>14</v>
      </c>
      <c r="S365" s="706">
        <f>Q154</f>
        <v>1020</v>
      </c>
      <c r="T365" s="706">
        <f>R154</f>
        <v>9.9999999999999995E-7</v>
      </c>
      <c r="U365" s="706">
        <f>S154</f>
        <v>9.9999999999999995E-7</v>
      </c>
      <c r="V365" s="706" t="str">
        <f>T154</f>
        <v>-</v>
      </c>
      <c r="W365" s="439">
        <f>U154</f>
        <v>0</v>
      </c>
      <c r="AE365" s="529"/>
    </row>
    <row r="366" spans="1:31" hidden="1" x14ac:dyDescent="0.2">
      <c r="A366" s="1322"/>
      <c r="B366" s="706">
        <v>15</v>
      </c>
      <c r="C366" s="706">
        <f>C165</f>
        <v>40</v>
      </c>
      <c r="D366" s="706">
        <f t="shared" ref="D366:E366" si="328">D165</f>
        <v>1.4</v>
      </c>
      <c r="E366" s="706">
        <f t="shared" si="328"/>
        <v>9.9999999999999995E-7</v>
      </c>
      <c r="F366" s="706" t="str">
        <f t="shared" ref="F366" si="329">F165</f>
        <v>-</v>
      </c>
      <c r="G366" s="706">
        <f>G165</f>
        <v>0.6999995</v>
      </c>
      <c r="I366" s="1322"/>
      <c r="J366" s="706">
        <v>15</v>
      </c>
      <c r="K366" s="706">
        <f>J165</f>
        <v>90</v>
      </c>
      <c r="L366" s="706">
        <f>K165</f>
        <v>-0.1</v>
      </c>
      <c r="M366" s="706">
        <f>L165</f>
        <v>-2</v>
      </c>
      <c r="N366" s="706" t="str">
        <f>M165</f>
        <v>-</v>
      </c>
      <c r="O366" s="706">
        <f>N165</f>
        <v>0.95</v>
      </c>
      <c r="Q366" s="1326"/>
      <c r="R366" s="706">
        <v>15</v>
      </c>
      <c r="S366" s="706">
        <f>Q165</f>
        <v>1020</v>
      </c>
      <c r="T366" s="706">
        <f>R165</f>
        <v>9.9999999999999995E-7</v>
      </c>
      <c r="U366" s="706">
        <f>S165</f>
        <v>9.9999999999999995E-7</v>
      </c>
      <c r="V366" s="706" t="str">
        <f>T165</f>
        <v>-</v>
      </c>
      <c r="W366" s="439">
        <f>U165</f>
        <v>0</v>
      </c>
      <c r="AE366" s="529"/>
    </row>
    <row r="367" spans="1:31" hidden="1" x14ac:dyDescent="0.2">
      <c r="A367" s="1322"/>
      <c r="B367" s="706">
        <v>16</v>
      </c>
      <c r="C367" s="706">
        <f>C176</f>
        <v>40</v>
      </c>
      <c r="D367" s="706">
        <f t="shared" ref="D367:E367" si="330">D176</f>
        <v>9.9999999999999995E-7</v>
      </c>
      <c r="E367" s="706" t="str">
        <f t="shared" si="330"/>
        <v>-</v>
      </c>
      <c r="F367" s="706" t="str">
        <f t="shared" ref="F367" si="331">F176</f>
        <v>-</v>
      </c>
      <c r="G367" s="706">
        <f>G176</f>
        <v>0</v>
      </c>
      <c r="I367" s="1322"/>
      <c r="J367" s="706">
        <v>16</v>
      </c>
      <c r="K367" s="706">
        <f>J176</f>
        <v>90</v>
      </c>
      <c r="L367" s="706">
        <f>K176</f>
        <v>-3</v>
      </c>
      <c r="M367" s="706" t="str">
        <f>L176</f>
        <v>-</v>
      </c>
      <c r="N367" s="706" t="str">
        <f>M176</f>
        <v>-</v>
      </c>
      <c r="O367" s="706">
        <f>N176</f>
        <v>0</v>
      </c>
      <c r="Q367" s="1326"/>
      <c r="R367" s="706">
        <v>16</v>
      </c>
      <c r="S367" s="706">
        <f>Q176</f>
        <v>1020</v>
      </c>
      <c r="T367" s="706">
        <f>R176</f>
        <v>9.9999999999999995E-7</v>
      </c>
      <c r="U367" s="706" t="str">
        <f>S176</f>
        <v>-</v>
      </c>
      <c r="V367" s="706" t="str">
        <f>T176</f>
        <v>-</v>
      </c>
      <c r="W367" s="439">
        <f>U176</f>
        <v>0</v>
      </c>
      <c r="AE367" s="529"/>
    </row>
    <row r="368" spans="1:31" hidden="1" x14ac:dyDescent="0.2">
      <c r="A368" s="1322"/>
      <c r="B368" s="706">
        <v>17</v>
      </c>
      <c r="C368" s="706">
        <f>C187</f>
        <v>40</v>
      </c>
      <c r="D368" s="706">
        <f t="shared" ref="D368:E368" si="332">D187</f>
        <v>-0.8</v>
      </c>
      <c r="E368" s="706" t="str">
        <f t="shared" si="332"/>
        <v>-</v>
      </c>
      <c r="F368" s="706" t="str">
        <f t="shared" ref="F368" si="333">F187</f>
        <v>-</v>
      </c>
      <c r="G368" s="706">
        <f>G187</f>
        <v>0</v>
      </c>
      <c r="I368" s="1322"/>
      <c r="J368" s="706">
        <v>17</v>
      </c>
      <c r="K368" s="706">
        <f>J187</f>
        <v>90</v>
      </c>
      <c r="L368" s="706">
        <f>K187</f>
        <v>-1.4</v>
      </c>
      <c r="M368" s="706" t="str">
        <f>L187</f>
        <v>-</v>
      </c>
      <c r="N368" s="706" t="str">
        <f>M187</f>
        <v>-</v>
      </c>
      <c r="O368" s="706">
        <f>N187</f>
        <v>0</v>
      </c>
      <c r="Q368" s="1326"/>
      <c r="R368" s="706">
        <v>17</v>
      </c>
      <c r="S368" s="706">
        <f>Q187</f>
        <v>1020</v>
      </c>
      <c r="T368" s="706">
        <f>R187</f>
        <v>9.9999999999999995E-7</v>
      </c>
      <c r="U368" s="706" t="str">
        <f>S187</f>
        <v>-</v>
      </c>
      <c r="V368" s="706" t="str">
        <f>T187</f>
        <v>-</v>
      </c>
      <c r="W368" s="439">
        <f>U187</f>
        <v>0</v>
      </c>
      <c r="AE368" s="529"/>
    </row>
    <row r="369" spans="1:31" hidden="1" x14ac:dyDescent="0.2">
      <c r="A369" s="1322"/>
      <c r="B369" s="706">
        <v>18</v>
      </c>
      <c r="C369" s="706">
        <f>C198</f>
        <v>40</v>
      </c>
      <c r="D369" s="706">
        <f t="shared" ref="D369:E369" si="334">D198</f>
        <v>-0.4</v>
      </c>
      <c r="E369" s="706" t="str">
        <f t="shared" si="334"/>
        <v>-</v>
      </c>
      <c r="F369" s="706" t="str">
        <f t="shared" ref="F369" si="335">F198</f>
        <v>-</v>
      </c>
      <c r="G369" s="706">
        <f>G198</f>
        <v>0</v>
      </c>
      <c r="I369" s="1322"/>
      <c r="J369" s="706">
        <v>18</v>
      </c>
      <c r="K369" s="706">
        <f>J198</f>
        <v>90</v>
      </c>
      <c r="L369" s="706">
        <f>K198</f>
        <v>-0.8</v>
      </c>
      <c r="M369" s="706" t="str">
        <f>L198</f>
        <v>-</v>
      </c>
      <c r="N369" s="706" t="str">
        <f>M198</f>
        <v>-</v>
      </c>
      <c r="O369" s="706">
        <f>N198</f>
        <v>0</v>
      </c>
      <c r="Q369" s="1326"/>
      <c r="R369" s="706">
        <v>18</v>
      </c>
      <c r="S369" s="706">
        <f>Q198</f>
        <v>1020</v>
      </c>
      <c r="T369" s="706">
        <f>R198</f>
        <v>9.9999999999999995E-7</v>
      </c>
      <c r="U369" s="706" t="str">
        <f>S198</f>
        <v>-</v>
      </c>
      <c r="V369" s="706" t="str">
        <f>T198</f>
        <v>-</v>
      </c>
      <c r="W369" s="439">
        <f>U198</f>
        <v>0</v>
      </c>
      <c r="AE369" s="529"/>
    </row>
    <row r="370" spans="1:31" hidden="1" x14ac:dyDescent="0.2">
      <c r="A370" s="1322"/>
      <c r="B370" s="706">
        <v>19</v>
      </c>
      <c r="C370" s="706">
        <f>C209</f>
        <v>40</v>
      </c>
      <c r="D370" s="706">
        <f t="shared" ref="D370:E370" si="336">D209</f>
        <v>0.2</v>
      </c>
      <c r="E370" s="706" t="str">
        <f t="shared" si="336"/>
        <v>-</v>
      </c>
      <c r="F370" s="706" t="str">
        <f t="shared" ref="F370" si="337">F209</f>
        <v>-</v>
      </c>
      <c r="G370" s="706">
        <f>G209</f>
        <v>0</v>
      </c>
      <c r="I370" s="1322"/>
      <c r="J370" s="706">
        <v>19</v>
      </c>
      <c r="K370" s="706">
        <f>J209</f>
        <v>90</v>
      </c>
      <c r="L370" s="706">
        <f>K209</f>
        <v>-0.6</v>
      </c>
      <c r="M370" s="706" t="str">
        <f>L209</f>
        <v>-</v>
      </c>
      <c r="N370" s="706" t="str">
        <f>M209</f>
        <v>-</v>
      </c>
      <c r="O370" s="706">
        <f>N209</f>
        <v>0</v>
      </c>
      <c r="Q370" s="1326"/>
      <c r="R370" s="706">
        <v>19</v>
      </c>
      <c r="S370" s="706">
        <f>Q209</f>
        <v>1020</v>
      </c>
      <c r="T370" s="706">
        <f>R209</f>
        <v>2.2999999999999998</v>
      </c>
      <c r="U370" s="706" t="str">
        <f>S209</f>
        <v>-</v>
      </c>
      <c r="V370" s="706" t="str">
        <f>T209</f>
        <v>-</v>
      </c>
      <c r="W370" s="439">
        <f>U209</f>
        <v>0</v>
      </c>
      <c r="AE370" s="529"/>
    </row>
    <row r="371" spans="1:31" ht="13.5" hidden="1" thickBot="1" x14ac:dyDescent="0.25">
      <c r="A371" s="1322"/>
      <c r="B371" s="706">
        <v>20</v>
      </c>
      <c r="C371" s="706">
        <f>C220</f>
        <v>40</v>
      </c>
      <c r="D371" s="706">
        <f t="shared" ref="D371:E371" si="338">D220</f>
        <v>9.9999999999999995E-7</v>
      </c>
      <c r="E371" s="706" t="str">
        <f t="shared" si="338"/>
        <v>-</v>
      </c>
      <c r="F371" s="706" t="str">
        <f t="shared" ref="F371" si="339">F220</f>
        <v>-</v>
      </c>
      <c r="G371" s="706">
        <f>G220</f>
        <v>0</v>
      </c>
      <c r="I371" s="1322"/>
      <c r="J371" s="706">
        <v>20</v>
      </c>
      <c r="K371" s="706">
        <f>J220</f>
        <v>90</v>
      </c>
      <c r="L371" s="706">
        <f>K220</f>
        <v>9.9999999999999995E-7</v>
      </c>
      <c r="M371" s="706" t="str">
        <f>L220</f>
        <v>-</v>
      </c>
      <c r="N371" s="706" t="str">
        <f>M220</f>
        <v>-</v>
      </c>
      <c r="O371" s="706">
        <f>N220</f>
        <v>0</v>
      </c>
      <c r="Q371" s="1327"/>
      <c r="R371" s="708">
        <v>20</v>
      </c>
      <c r="S371" s="708">
        <f>Q220</f>
        <v>1020</v>
      </c>
      <c r="T371" s="708">
        <f>R220</f>
        <v>9.9999999999999995E-7</v>
      </c>
      <c r="U371" s="708" t="str">
        <f>S220</f>
        <v>-</v>
      </c>
      <c r="V371" s="708" t="str">
        <f>T220</f>
        <v>-</v>
      </c>
      <c r="W371" s="447">
        <f>U220</f>
        <v>0</v>
      </c>
      <c r="AE371" s="583"/>
    </row>
    <row r="372" spans="1:31" ht="13.5" thickBot="1" x14ac:dyDescent="0.25">
      <c r="A372" s="588"/>
      <c r="B372" s="458"/>
      <c r="C372" s="525"/>
      <c r="D372" s="525"/>
      <c r="E372" s="525"/>
      <c r="F372" s="525"/>
      <c r="G372" s="525"/>
      <c r="H372" s="529"/>
      <c r="I372" s="537"/>
      <c r="J372" s="458"/>
      <c r="K372" s="525"/>
      <c r="L372" s="525"/>
      <c r="M372" s="525"/>
      <c r="N372" s="525"/>
      <c r="O372" s="525"/>
      <c r="P372" s="529"/>
    </row>
    <row r="373" spans="1:31" ht="29.25" customHeight="1" x14ac:dyDescent="0.2">
      <c r="A373" s="734">
        <f>A410</f>
        <v>13</v>
      </c>
      <c r="B373" s="1321" t="str">
        <f>A389</f>
        <v>Thermohygrolight, Merek : EXTECH, Model : SD700, SN : A.100605</v>
      </c>
      <c r="C373" s="1321"/>
      <c r="D373" s="1321"/>
      <c r="E373" s="1321"/>
      <c r="G373" s="734">
        <f>A373</f>
        <v>13</v>
      </c>
      <c r="H373" s="1321" t="str">
        <f>B373</f>
        <v>Thermohygrolight, Merek : EXTECH, Model : SD700, SN : A.100605</v>
      </c>
      <c r="I373" s="1321"/>
      <c r="J373" s="1321"/>
      <c r="K373" s="1321"/>
      <c r="M373" s="734">
        <f>G373</f>
        <v>13</v>
      </c>
      <c r="N373" s="1321" t="str">
        <f>H373</f>
        <v>Thermohygrolight, Merek : EXTECH, Model : SD700, SN : A.100605</v>
      </c>
      <c r="O373" s="1321"/>
      <c r="P373" s="1321"/>
      <c r="Q373" s="1321"/>
      <c r="S373" s="735">
        <f>A373</f>
        <v>13</v>
      </c>
      <c r="T373" s="1315" t="str">
        <f>H373</f>
        <v>Thermohygrolight, Merek : EXTECH, Model : SD700, SN : A.100605</v>
      </c>
      <c r="U373" s="1315"/>
      <c r="V373" s="1315"/>
      <c r="W373" s="1316"/>
      <c r="Z373" s="736"/>
      <c r="AE373" s="719"/>
    </row>
    <row r="374" spans="1:31" x14ac:dyDescent="0.2">
      <c r="A374" s="737" t="s">
        <v>285</v>
      </c>
      <c r="B374" s="1317" t="s">
        <v>286</v>
      </c>
      <c r="C374" s="1317"/>
      <c r="D374" s="1317"/>
      <c r="E374" s="1317" t="s">
        <v>287</v>
      </c>
      <c r="G374" s="737" t="s">
        <v>288</v>
      </c>
      <c r="H374" s="1317" t="s">
        <v>286</v>
      </c>
      <c r="I374" s="1317"/>
      <c r="J374" s="1317"/>
      <c r="K374" s="1317" t="s">
        <v>287</v>
      </c>
      <c r="M374" s="737" t="s">
        <v>289</v>
      </c>
      <c r="N374" s="1317" t="s">
        <v>286</v>
      </c>
      <c r="O374" s="1317"/>
      <c r="P374" s="1317"/>
      <c r="Q374" s="1317" t="s">
        <v>287</v>
      </c>
      <c r="S374" s="1318"/>
      <c r="T374" s="1319" t="s">
        <v>312</v>
      </c>
      <c r="U374" s="1319" t="s">
        <v>313</v>
      </c>
      <c r="V374" s="1319" t="s">
        <v>314</v>
      </c>
      <c r="W374" s="1320" t="s">
        <v>284</v>
      </c>
      <c r="Z374" s="525"/>
    </row>
    <row r="375" spans="1:31" ht="15" x14ac:dyDescent="0.2">
      <c r="A375" s="738" t="s">
        <v>533</v>
      </c>
      <c r="B375" s="739">
        <f>VLOOKUP(B373,A390:L409,9,FALSE)</f>
        <v>2022</v>
      </c>
      <c r="C375" s="739">
        <f>VLOOKUP(B373,A390:L409,10,FALSE)</f>
        <v>2020</v>
      </c>
      <c r="D375" s="739" t="str">
        <f>VLOOKUP(B373,A390:L409,11,FALSE)</f>
        <v>-</v>
      </c>
      <c r="E375" s="1317"/>
      <c r="G375" s="457" t="s">
        <v>22</v>
      </c>
      <c r="H375" s="739">
        <f>B375</f>
        <v>2022</v>
      </c>
      <c r="I375" s="739">
        <f>C375</f>
        <v>2020</v>
      </c>
      <c r="J375" s="739" t="str">
        <f>D375</f>
        <v>-</v>
      </c>
      <c r="K375" s="1317"/>
      <c r="M375" s="457" t="s">
        <v>290</v>
      </c>
      <c r="N375" s="739">
        <f>H375</f>
        <v>2022</v>
      </c>
      <c r="O375" s="739">
        <f>I375</f>
        <v>2020</v>
      </c>
      <c r="P375" s="739" t="str">
        <f>J375</f>
        <v>-</v>
      </c>
      <c r="Q375" s="1317"/>
      <c r="S375" s="1318"/>
      <c r="T375" s="1319"/>
      <c r="U375" s="1319"/>
      <c r="V375" s="1319"/>
      <c r="W375" s="1320"/>
      <c r="Z375" s="525"/>
    </row>
    <row r="376" spans="1:31" x14ac:dyDescent="0.2">
      <c r="A376" s="455">
        <f>VLOOKUP($A$373,$B$226:$G$245,2,FALSE)</f>
        <v>15</v>
      </c>
      <c r="B376" s="455">
        <f>VLOOKUP($A$373,$B$226:$G$245,3,FALSE)</f>
        <v>0.5</v>
      </c>
      <c r="C376" s="455">
        <f>VLOOKUP($A$373,$B$226:$G$245,4,FALSE)</f>
        <v>-0.7</v>
      </c>
      <c r="D376" s="455" t="str">
        <f>VLOOKUP($A$373,$B$226:$G$245,5,FALSE)</f>
        <v>-</v>
      </c>
      <c r="E376" s="455">
        <f>VLOOKUP($A$373,$B$226:$G$245,6,FALSE)</f>
        <v>0.6</v>
      </c>
      <c r="G376" s="455">
        <f>VLOOKUP($G$373,$J$226:$O$245,2,FALSE)</f>
        <v>30</v>
      </c>
      <c r="H376" s="455">
        <f>VLOOKUP($G$373,$J$226:$O$245,3,FALSE)</f>
        <v>-2.2000000000000002</v>
      </c>
      <c r="I376" s="455">
        <f>VLOOKUP($G$373,$J$226:$O$245,4,FALSE)</f>
        <v>-1.4</v>
      </c>
      <c r="J376" s="455" t="str">
        <f>VLOOKUP($G$373,$J$226:$O$245,5,FALSE)</f>
        <v>-</v>
      </c>
      <c r="K376" s="455">
        <f>VLOOKUP($G$373,$J$226:$O$245,6,FALSE)</f>
        <v>0.40000000000000013</v>
      </c>
      <c r="M376" s="455">
        <f>VLOOKUP($M$373,$R$226:$W$245,2,FALSE)</f>
        <v>985</v>
      </c>
      <c r="N376" s="455">
        <f>VLOOKUP($M$373,$R$226:$W$245,3,FALSE)</f>
        <v>3.8</v>
      </c>
      <c r="O376" s="455">
        <f>VLOOKUP($M$373,$R$226:$W$245,4,FALSE)</f>
        <v>0.9</v>
      </c>
      <c r="P376" s="455" t="str">
        <f>VLOOKUP($M$373,$R$226:$W$245,5,FALSE)</f>
        <v>-</v>
      </c>
      <c r="Q376" s="455">
        <f>VLOOKUP($M$373,$R$226:$W$245,6,FALSE)</f>
        <v>1.45</v>
      </c>
      <c r="S376" s="1318"/>
      <c r="T376" s="1319"/>
      <c r="U376" s="1319"/>
      <c r="V376" s="1319"/>
      <c r="W376" s="1320"/>
      <c r="Z376" s="525"/>
    </row>
    <row r="377" spans="1:31" x14ac:dyDescent="0.2">
      <c r="A377" s="455">
        <f>VLOOKUP($A$373,$B$247:$G$266,2,FALSE)</f>
        <v>20</v>
      </c>
      <c r="B377" s="455">
        <f>VLOOKUP($A$373,$B$247:$G$266,3,FALSE)</f>
        <v>0.2</v>
      </c>
      <c r="C377" s="455">
        <f>VLOOKUP($A$373,$B$247:$G$266,4,FALSE)</f>
        <v>-0.4</v>
      </c>
      <c r="D377" s="455" t="str">
        <f>VLOOKUP($A$373,$B$247:$G$266,5,FALSE)</f>
        <v>-</v>
      </c>
      <c r="E377" s="455">
        <f>VLOOKUP($A$373,$B$247:$G$266,6,FALSE)</f>
        <v>0.30000000000000004</v>
      </c>
      <c r="G377" s="455">
        <f>VLOOKUP($G$373,$J$247:$O$266,2,FALSE)</f>
        <v>40</v>
      </c>
      <c r="H377" s="455">
        <f>VLOOKUP($G$373,$J$247:$O$266,3,FALSE)</f>
        <v>-2</v>
      </c>
      <c r="I377" s="455">
        <f>VLOOKUP($G$373,$J$247:$O$266,4,FALSE)</f>
        <v>-1.3</v>
      </c>
      <c r="J377" s="455" t="str">
        <f>VLOOKUP($G$373,$J$247:$O$266,5,FALSE)</f>
        <v>-</v>
      </c>
      <c r="K377" s="455">
        <f>VLOOKUP($G$373,$J$247:$O$266,6,FALSE)</f>
        <v>0.35</v>
      </c>
      <c r="M377" s="455">
        <f>VLOOKUP($M$373,$R$247:$W$266,2,FALSE)</f>
        <v>990</v>
      </c>
      <c r="N377" s="455">
        <f>VLOOKUP($M$373,$R$247:$W$266,3,FALSE)</f>
        <v>3.8</v>
      </c>
      <c r="O377" s="455">
        <f>VLOOKUP($M$373,$R$247:$W$266,4,FALSE)</f>
        <v>1</v>
      </c>
      <c r="P377" s="455" t="str">
        <f>VLOOKUP($M$373,$R$247:$W$266,5,FALSE)</f>
        <v>-</v>
      </c>
      <c r="Q377" s="455">
        <f>VLOOKUP($M$373,$R$247:$W$266,6,FALSE)</f>
        <v>1.4</v>
      </c>
      <c r="S377" s="589" t="s">
        <v>285</v>
      </c>
      <c r="T377" s="590">
        <f>AVERAGE(ID!E17:F17)</f>
        <v>21.2</v>
      </c>
      <c r="U377" s="499">
        <f>T377+S386</f>
        <v>21.388990011098777</v>
      </c>
      <c r="V377" s="590">
        <f>STDEV(ID!E17:F17)</f>
        <v>0.28284271247461801</v>
      </c>
      <c r="W377" s="591">
        <f>VLOOKUP(S373,Y225:Z244,2,(FALSE))</f>
        <v>0.5</v>
      </c>
      <c r="Z377" s="525"/>
    </row>
    <row r="378" spans="1:31" x14ac:dyDescent="0.2">
      <c r="A378" s="455">
        <f>VLOOKUP($A$373,$B$268:$G$287,2,FALSE)</f>
        <v>25</v>
      </c>
      <c r="B378" s="455">
        <f>VLOOKUP($A$373,$B$268:$G$287,3,FALSE)</f>
        <v>0.1</v>
      </c>
      <c r="C378" s="455">
        <f>VLOOKUP($A$373,$B$268:$G$287,4,FALSE)</f>
        <v>-0.2</v>
      </c>
      <c r="D378" s="455" t="str">
        <f>VLOOKUP($A$373,$B$268:$G$287,5,FALSE)</f>
        <v>-</v>
      </c>
      <c r="E378" s="455">
        <f>VLOOKUP($A$373,$B$268:$G$287,6,FALSE)</f>
        <v>0.15000000000000002</v>
      </c>
      <c r="G378" s="455">
        <f>VLOOKUP($G$373,$J$268:$O$287,2,FALSE)</f>
        <v>50</v>
      </c>
      <c r="H378" s="455">
        <f>VLOOKUP($G$373,$J$268:$O$287,3,FALSE)</f>
        <v>-1.8</v>
      </c>
      <c r="I378" s="455">
        <f>VLOOKUP($G$373,$J$268:$O$287,4,FALSE)</f>
        <v>-1.3</v>
      </c>
      <c r="J378" s="455" t="str">
        <f>VLOOKUP($G$373,$J$268:$O$287,5,FALSE)</f>
        <v>-</v>
      </c>
      <c r="K378" s="455">
        <f>VLOOKUP($G$373,$J$268:$O$287,6,FALSE)</f>
        <v>0.25</v>
      </c>
      <c r="M378" s="455">
        <f>VLOOKUP($M$373,$R$268:$W$287,2,FALSE)</f>
        <v>995</v>
      </c>
      <c r="N378" s="455">
        <f>VLOOKUP($M$373,$R$268:$W$287,3,FALSE)</f>
        <v>3.7</v>
      </c>
      <c r="O378" s="455">
        <f>VLOOKUP($M$373,$R$268:$W$287,4,FALSE)</f>
        <v>1</v>
      </c>
      <c r="P378" s="455" t="str">
        <f>VLOOKUP($M$373,$R$268:$W$287,5,FALSE)</f>
        <v>-</v>
      </c>
      <c r="Q378" s="455">
        <f>VLOOKUP($M$373,$R$268:$W$287,6,FALSE)</f>
        <v>1.35</v>
      </c>
      <c r="S378" s="589" t="s">
        <v>22</v>
      </c>
      <c r="T378" s="590">
        <f>AVERAGE(ID!E18:F18)</f>
        <v>70.349999999999994</v>
      </c>
      <c r="U378" s="499">
        <f>T378+T386</f>
        <v>68.956999999999994</v>
      </c>
      <c r="V378" s="590">
        <f>STDEV(ID!E18:F18)</f>
        <v>0.49497474683058529</v>
      </c>
      <c r="W378" s="591">
        <f>VLOOKUP(S373,Y249:Z268,2,(FALSE))</f>
        <v>2.2999999999999998</v>
      </c>
      <c r="Z378" s="525"/>
    </row>
    <row r="379" spans="1:31" ht="13.5" thickBot="1" x14ac:dyDescent="0.25">
      <c r="A379" s="455">
        <f>VLOOKUP($A$373,$B$289:$G$308,2,FALSE)</f>
        <v>30</v>
      </c>
      <c r="B379" s="455">
        <f>VLOOKUP($A$373,$B$289:$G$308,3,FALSE)</f>
        <v>-0.4</v>
      </c>
      <c r="C379" s="455">
        <f>VLOOKUP($A$373,$B$289:$G$308,4,FALSE)</f>
        <v>-0.3</v>
      </c>
      <c r="D379" s="455" t="str">
        <f>VLOOKUP($A$373,$B$289:$G$308,5,FALSE)</f>
        <v>-</v>
      </c>
      <c r="E379" s="455">
        <f>VLOOKUP($A$373,$B$289:$G$308,6,FALSE)</f>
        <v>5.0000000000000017E-2</v>
      </c>
      <c r="G379" s="455">
        <f>VLOOKUP($G$373,$J$289:$O$308,2,FALSE)</f>
        <v>60</v>
      </c>
      <c r="H379" s="455">
        <f>VLOOKUP($G$373,$J$289:$O$308,3,FALSE)</f>
        <v>-1.6</v>
      </c>
      <c r="I379" s="455">
        <f>VLOOKUP($G$373,$J$289:$O$308,4,FALSE)</f>
        <v>-1.5</v>
      </c>
      <c r="J379" s="455" t="str">
        <f>VLOOKUP($G$373,$J$289:$O$308,5,FALSE)</f>
        <v>-</v>
      </c>
      <c r="K379" s="455">
        <f>VLOOKUP($G$373,$J$289:$O$308,6,FALSE)</f>
        <v>5.0000000000000044E-2</v>
      </c>
      <c r="M379" s="455">
        <f>VLOOKUP($M$373,$R$289:$W$308,2,FALSE)</f>
        <v>1000</v>
      </c>
      <c r="N379" s="455">
        <f>VLOOKUP($M$373,$R$289:$W$308,3,FALSE)</f>
        <v>3.7</v>
      </c>
      <c r="O379" s="455">
        <f>VLOOKUP($M$373,$R$289:$W$308,4,FALSE)</f>
        <v>1.1000000000000001</v>
      </c>
      <c r="P379" s="455" t="str">
        <f>VLOOKUP($M$373,$R$289:$W$308,5,FALSE)</f>
        <v>-</v>
      </c>
      <c r="Q379" s="455">
        <f>VLOOKUP($M$373,$R$289:$W$308,6,FALSE)</f>
        <v>1.3</v>
      </c>
      <c r="S379" s="592" t="s">
        <v>290</v>
      </c>
      <c r="T379" s="740">
        <f>AVERAGE('[4]INPUT DATA'!E17:F17)</f>
        <v>1011.55</v>
      </c>
      <c r="U379" s="741">
        <f>T379+U386</f>
        <v>1013.7585741531557</v>
      </c>
      <c r="V379" s="740">
        <f>STDEV('[4]INPUT DATA'!E17:F17)</f>
        <v>2.0506096654409718</v>
      </c>
      <c r="W379" s="593">
        <f>VLOOKUP(S373,Y273:Z292,2,(FALSE))</f>
        <v>2.4</v>
      </c>
      <c r="Z379" s="525"/>
      <c r="AE379" s="594"/>
    </row>
    <row r="380" spans="1:31" ht="13.5" thickBot="1" x14ac:dyDescent="0.25">
      <c r="A380" s="455">
        <f>VLOOKUP($A$373,$B$310:$G$329,2,FALSE)</f>
        <v>35</v>
      </c>
      <c r="B380" s="455">
        <f>VLOOKUP($A$373,$B$310:$G$329,3,FALSE)</f>
        <v>-0.2</v>
      </c>
      <c r="C380" s="455">
        <f>VLOOKUP($A$373,$B$310:$G$329,4,FALSE)</f>
        <v>0.3</v>
      </c>
      <c r="D380" s="455" t="str">
        <f>VLOOKUP($A$373,$B$310:$G$329,5,FALSE)</f>
        <v>-</v>
      </c>
      <c r="E380" s="455">
        <f>VLOOKUP($A$373,$B$310:$G$329,6,FALSE)</f>
        <v>0.25</v>
      </c>
      <c r="G380" s="455">
        <f>VLOOKUP($G$373,$J$310:$O$329,2,FALSE)</f>
        <v>70</v>
      </c>
      <c r="H380" s="455">
        <f>VLOOKUP($G$373,$J$310:$O$329,3,FALSE)</f>
        <v>-1.4</v>
      </c>
      <c r="I380" s="455">
        <f>VLOOKUP($G$373,$J$310:$O$329,4,FALSE)</f>
        <v>-1.9</v>
      </c>
      <c r="J380" s="455" t="str">
        <f>VLOOKUP($G$373,$J$310:$O$329,5,FALSE)</f>
        <v>-</v>
      </c>
      <c r="K380" s="455">
        <f>VLOOKUP($G$373,$J$310:$O$329,6,FALSE)</f>
        <v>0.25</v>
      </c>
      <c r="M380" s="455">
        <f>VLOOKUP($M$373,$R$310:$W$329,2,FALSE)</f>
        <v>1005</v>
      </c>
      <c r="N380" s="455">
        <f>VLOOKUP($M$373,$R$310:$W$329,3,FALSE)</f>
        <v>3.6</v>
      </c>
      <c r="O380" s="455">
        <f>VLOOKUP($M$373,$R$310:$W$329,4,FALSE)</f>
        <v>1.1000000000000001</v>
      </c>
      <c r="P380" s="455" t="str">
        <f>VLOOKUP($M$373,$R$310:$W$329,5,FALSE)</f>
        <v>-</v>
      </c>
      <c r="Q380" s="455">
        <f>VLOOKUP($M$373,$R$310:$W$329,6,FALSE)</f>
        <v>1.25</v>
      </c>
      <c r="S380" s="719"/>
      <c r="W380" s="719"/>
      <c r="Z380" s="525"/>
      <c r="AE380" s="742"/>
    </row>
    <row r="381" spans="1:31" ht="15" x14ac:dyDescent="0.25">
      <c r="A381" s="455">
        <f>VLOOKUP($A$373,$B$331:$G$350,2,FALSE)</f>
        <v>37</v>
      </c>
      <c r="B381" s="455">
        <f>VLOOKUP($A$373,$B$331:$G$350,3,FALSE)</f>
        <v>-0.2</v>
      </c>
      <c r="C381" s="455">
        <f>VLOOKUP($A$373,$B$331:$G$350,4,FALSE)</f>
        <v>0.4</v>
      </c>
      <c r="D381" s="455" t="str">
        <f>VLOOKUP($A$373,$B$331:$G$350,5,FALSE)</f>
        <v>-</v>
      </c>
      <c r="E381" s="455">
        <f>VLOOKUP($A$373,$B$331:$G$350,6,FALSE)</f>
        <v>0.30000000000000004</v>
      </c>
      <c r="G381" s="455">
        <f>VLOOKUP($G$373,$J$331:$O$350,2,FALSE)</f>
        <v>80</v>
      </c>
      <c r="H381" s="455">
        <f>VLOOKUP($G$373,$J$331:$O$350,3,FALSE)</f>
        <v>-1.2</v>
      </c>
      <c r="I381" s="455">
        <f>VLOOKUP($G$373,$J$331:$O$350,4,FALSE)</f>
        <v>-2.5</v>
      </c>
      <c r="J381" s="455" t="str">
        <f>VLOOKUP($G$373,$J$331:$O$350,5,FALSE)</f>
        <v>-</v>
      </c>
      <c r="K381" s="455">
        <f>VLOOKUP($G$373,$J$331:$O$350,6,FALSE)</f>
        <v>0.65</v>
      </c>
      <c r="M381" s="455">
        <f>VLOOKUP($M$373,$R$331:$W$350,2,FALSE)</f>
        <v>1010</v>
      </c>
      <c r="N381" s="455">
        <f>VLOOKUP($M$373,$R$331:$W$350,3,FALSE)</f>
        <v>3.5</v>
      </c>
      <c r="O381" s="455">
        <f>VLOOKUP($M$373,$R$331:$W$350,4,FALSE)</f>
        <v>1.1000000000000001</v>
      </c>
      <c r="P381" s="455" t="str">
        <f>VLOOKUP($M$373,$R$331:$W$350,5,FALSE)</f>
        <v>-</v>
      </c>
      <c r="Q381" s="455">
        <f>VLOOKUP($M$373,$R$331:$W$350,6,FALSE)</f>
        <v>1.2</v>
      </c>
      <c r="S381" s="1307" t="s">
        <v>315</v>
      </c>
      <c r="T381" s="743" t="str">
        <f>N393&amp;N390&amp;O393&amp;O390&amp;P393&amp;P390</f>
        <v>( 21.4 ± 0.5 ) °C</v>
      </c>
      <c r="U381" s="744"/>
      <c r="Z381" s="525"/>
      <c r="AE381" s="745"/>
    </row>
    <row r="382" spans="1:31" ht="15" x14ac:dyDescent="0.25">
      <c r="A382" s="455">
        <f>VLOOKUP($A$373,$B$352:$G$371,2,FALSE)</f>
        <v>40</v>
      </c>
      <c r="B382" s="455">
        <f>VLOOKUP($A$373,$B$352:$G$371,3,FALSE)</f>
        <v>-0.2</v>
      </c>
      <c r="C382" s="455">
        <f>VLOOKUP($A$373,$B$352:$G$371,4,FALSE)</f>
        <v>0.5</v>
      </c>
      <c r="D382" s="455" t="str">
        <f>VLOOKUP($A$373,$B$352:$G$371,5,FALSE)</f>
        <v>-</v>
      </c>
      <c r="E382" s="455">
        <f>VLOOKUP($A$373,$B$352:$G$371,6,FALSE)</f>
        <v>0.35</v>
      </c>
      <c r="G382" s="455">
        <f>VLOOKUP($G$373,$J$352:$O$371,2,FALSE)</f>
        <v>90</v>
      </c>
      <c r="H382" s="455">
        <f>VLOOKUP($G$373,$J$352:$O$371,3,FALSE)</f>
        <v>-1</v>
      </c>
      <c r="I382" s="455">
        <f>VLOOKUP($G$373,$J$352:$O$371,4,FALSE)</f>
        <v>-3.2</v>
      </c>
      <c r="J382" s="455" t="str">
        <f>VLOOKUP($G$373,$J$352:$O$371,5,FALSE)</f>
        <v>-</v>
      </c>
      <c r="K382" s="455">
        <f>VLOOKUP($G$373,$J$352:$O$371,6,FALSE)</f>
        <v>1.1000000000000001</v>
      </c>
      <c r="M382" s="455">
        <f>VLOOKUP($M$373,$R$352:$W$371,2,FALSE)</f>
        <v>1020</v>
      </c>
      <c r="N382" s="455">
        <f>VLOOKUP($M$373,$R$352:$W$371,3,FALSE)</f>
        <v>9.9999999999999995E-7</v>
      </c>
      <c r="O382" s="455">
        <f>VLOOKUP($M$373,$R$352:$W$371,4,FALSE)</f>
        <v>9.9999999999999995E-7</v>
      </c>
      <c r="P382" s="455" t="str">
        <f>VLOOKUP($M$373,$R$352:$W$371,5,FALSE)</f>
        <v>-</v>
      </c>
      <c r="Q382" s="455">
        <f>VLOOKUP($M$373,$R$352:$W$371,6,FALSE)</f>
        <v>0</v>
      </c>
      <c r="S382" s="1308"/>
      <c r="T382" s="578" t="str">
        <f>N393&amp;N391&amp;O393&amp;O391&amp;P393&amp;P391</f>
        <v>( 69.0 ± 2.3 ) %RH</v>
      </c>
      <c r="U382" s="746"/>
      <c r="Z382" s="525"/>
      <c r="AE382" s="745"/>
    </row>
    <row r="383" spans="1:31" ht="15.75" thickBot="1" x14ac:dyDescent="0.3">
      <c r="A383" s="539"/>
      <c r="B383" s="525"/>
      <c r="C383" s="525"/>
      <c r="D383" s="525"/>
      <c r="E383" s="525"/>
      <c r="G383" s="525"/>
      <c r="H383" s="525"/>
      <c r="I383" s="525"/>
      <c r="J383" s="525"/>
      <c r="M383" s="525"/>
      <c r="N383" s="525"/>
      <c r="O383" s="525"/>
      <c r="P383" s="525"/>
      <c r="S383" s="1309"/>
      <c r="T383" s="747" t="str">
        <f>N393&amp;N392&amp;O393&amp;O392&amp;P393&amp;P392</f>
        <v>( 1013.8 ± 2.4 ) hPa</v>
      </c>
      <c r="U383" s="748"/>
      <c r="Z383" s="525"/>
      <c r="AE383" s="745"/>
    </row>
    <row r="385" spans="1:21" ht="38.25" x14ac:dyDescent="0.2">
      <c r="S385" s="601" t="s">
        <v>316</v>
      </c>
      <c r="T385" s="601" t="s">
        <v>317</v>
      </c>
      <c r="U385" s="601" t="s">
        <v>318</v>
      </c>
    </row>
    <row r="386" spans="1:21" x14ac:dyDescent="0.2">
      <c r="S386" s="601">
        <f>_xlfn.FORECAST.LINEAR(T377,B376:B382,A376:A382)</f>
        <v>0.18899001109877911</v>
      </c>
      <c r="T386" s="601">
        <f>_xlfn.FORECAST.LINEAR(T378,H376:H382,G376:G382)</f>
        <v>-1.3929999999999996</v>
      </c>
      <c r="U386" s="601">
        <f>_xlfn.FORECAST.LINEAR(T379,N376:N382,M376:M382)</f>
        <v>2.2085741531557375</v>
      </c>
    </row>
    <row r="388" spans="1:21" ht="13.5" thickBot="1" x14ac:dyDescent="0.25"/>
    <row r="389" spans="1:21" x14ac:dyDescent="0.2">
      <c r="A389" s="1314" t="str">
        <f>ID!B56</f>
        <v>Thermohygrolight, Merek : EXTECH, Model : SD700, SN : A.100605</v>
      </c>
      <c r="B389" s="1314"/>
      <c r="C389" s="1314"/>
      <c r="D389" s="1314"/>
      <c r="E389" s="1314"/>
      <c r="F389" s="1314"/>
      <c r="G389" s="1314"/>
      <c r="H389" s="1314"/>
      <c r="I389" s="1314"/>
      <c r="J389" s="1314"/>
      <c r="K389" s="1314"/>
      <c r="L389" s="1314"/>
      <c r="N389" s="1310" t="s">
        <v>319</v>
      </c>
      <c r="O389" s="1311"/>
      <c r="P389" s="1312"/>
    </row>
    <row r="390" spans="1:21" ht="15.75" x14ac:dyDescent="0.2">
      <c r="A390" s="595" t="s">
        <v>320</v>
      </c>
      <c r="B390" s="706"/>
      <c r="C390" s="706"/>
      <c r="D390" s="595"/>
      <c r="E390" s="595"/>
      <c r="F390" s="595"/>
      <c r="G390" s="595"/>
      <c r="H390" s="595"/>
      <c r="I390" s="750">
        <f>D4</f>
        <v>2020</v>
      </c>
      <c r="J390" s="750">
        <f>E4</f>
        <v>2017</v>
      </c>
      <c r="K390" s="750" t="str">
        <f>F4</f>
        <v>-</v>
      </c>
      <c r="L390" s="750">
        <v>1</v>
      </c>
      <c r="N390" s="651" t="str">
        <f>TEXT(U377,"0.0")</f>
        <v>21.4</v>
      </c>
      <c r="O390" s="457" t="str">
        <f>TEXT(W377,"0.0")</f>
        <v>0.5</v>
      </c>
      <c r="P390" s="573" t="s">
        <v>321</v>
      </c>
    </row>
    <row r="391" spans="1:21" ht="15.75" x14ac:dyDescent="0.2">
      <c r="A391" s="595" t="s">
        <v>322</v>
      </c>
      <c r="B391" s="706"/>
      <c r="C391" s="706"/>
      <c r="D391" s="595"/>
      <c r="E391" s="595"/>
      <c r="F391" s="595"/>
      <c r="G391" s="595"/>
      <c r="H391" s="595"/>
      <c r="I391" s="750">
        <f>D15</f>
        <v>2021</v>
      </c>
      <c r="J391" s="750">
        <f>E15</f>
        <v>2018</v>
      </c>
      <c r="K391" s="750" t="str">
        <f>F15</f>
        <v>-</v>
      </c>
      <c r="L391" s="750">
        <v>2</v>
      </c>
      <c r="N391" s="572" t="str">
        <f>TEXT(U378,"0.0")</f>
        <v>69.0</v>
      </c>
      <c r="O391" s="457" t="str">
        <f>TEXT(W378,"0.0")</f>
        <v>2.3</v>
      </c>
      <c r="P391" s="573" t="s">
        <v>323</v>
      </c>
    </row>
    <row r="392" spans="1:21" ht="15" x14ac:dyDescent="0.2">
      <c r="A392" s="595" t="s">
        <v>324</v>
      </c>
      <c r="B392" s="706"/>
      <c r="C392" s="706"/>
      <c r="D392" s="595"/>
      <c r="E392" s="595"/>
      <c r="F392" s="595"/>
      <c r="G392" s="595"/>
      <c r="H392" s="595"/>
      <c r="I392" s="750">
        <f>D26</f>
        <v>2021</v>
      </c>
      <c r="J392" s="750">
        <f>E26</f>
        <v>2018</v>
      </c>
      <c r="K392" s="750" t="str">
        <f>F26</f>
        <v>-</v>
      </c>
      <c r="L392" s="750">
        <v>3</v>
      </c>
      <c r="N392" s="572" t="str">
        <f>TEXT(U379,"0.0")</f>
        <v>1013.8</v>
      </c>
      <c r="O392" s="457" t="str">
        <f>TEXT(W379,"0.0")</f>
        <v>2.4</v>
      </c>
      <c r="P392" s="596" t="s">
        <v>325</v>
      </c>
    </row>
    <row r="393" spans="1:21" ht="16.5" thickBot="1" x14ac:dyDescent="0.25">
      <c r="A393" s="595" t="s">
        <v>326</v>
      </c>
      <c r="B393" s="706"/>
      <c r="C393" s="706"/>
      <c r="D393" s="595"/>
      <c r="E393" s="595"/>
      <c r="F393" s="595"/>
      <c r="G393" s="595"/>
      <c r="H393" s="595"/>
      <c r="I393" s="750">
        <f>D37</f>
        <v>2019</v>
      </c>
      <c r="J393" s="750">
        <f>E37</f>
        <v>2017</v>
      </c>
      <c r="K393" s="750" t="str">
        <f>F37</f>
        <v>-</v>
      </c>
      <c r="L393" s="750">
        <v>4</v>
      </c>
      <c r="N393" s="574" t="s">
        <v>327</v>
      </c>
      <c r="O393" s="451" t="s">
        <v>328</v>
      </c>
      <c r="P393" s="452" t="s">
        <v>329</v>
      </c>
    </row>
    <row r="394" spans="1:21" x14ac:dyDescent="0.2">
      <c r="A394" s="595" t="s">
        <v>330</v>
      </c>
      <c r="B394" s="706"/>
      <c r="C394" s="706"/>
      <c r="D394" s="595"/>
      <c r="E394" s="595"/>
      <c r="F394" s="595"/>
      <c r="G394" s="595"/>
      <c r="H394" s="595"/>
      <c r="I394" s="750">
        <f>D48</f>
        <v>2020</v>
      </c>
      <c r="J394" s="750">
        <f>E48</f>
        <v>2017</v>
      </c>
      <c r="K394" s="750" t="str">
        <f>F48</f>
        <v>-</v>
      </c>
      <c r="L394" s="750">
        <v>5</v>
      </c>
    </row>
    <row r="395" spans="1:21" x14ac:dyDescent="0.2">
      <c r="A395" s="595" t="s">
        <v>331</v>
      </c>
      <c r="B395" s="706"/>
      <c r="C395" s="706"/>
      <c r="D395" s="595"/>
      <c r="E395" s="595"/>
      <c r="F395" s="595"/>
      <c r="G395" s="595"/>
      <c r="H395" s="595"/>
      <c r="I395" s="750">
        <f>D59</f>
        <v>2019</v>
      </c>
      <c r="J395" s="750">
        <f>E59</f>
        <v>2018</v>
      </c>
      <c r="K395" s="750" t="str">
        <f>F59</f>
        <v>-</v>
      </c>
      <c r="L395" s="750">
        <v>6</v>
      </c>
    </row>
    <row r="396" spans="1:21" x14ac:dyDescent="0.2">
      <c r="A396" s="595" t="s">
        <v>332</v>
      </c>
      <c r="B396" s="706"/>
      <c r="C396" s="706"/>
      <c r="D396" s="595"/>
      <c r="E396" s="595"/>
      <c r="F396" s="595"/>
      <c r="G396" s="595"/>
      <c r="H396" s="595"/>
      <c r="I396" s="750">
        <f>D70</f>
        <v>2021</v>
      </c>
      <c r="J396" s="750">
        <f>E70</f>
        <v>2018</v>
      </c>
      <c r="K396" s="750" t="str">
        <f>F70</f>
        <v>-</v>
      </c>
      <c r="L396" s="750">
        <v>7</v>
      </c>
    </row>
    <row r="397" spans="1:21" x14ac:dyDescent="0.2">
      <c r="A397" s="595" t="s">
        <v>333</v>
      </c>
      <c r="B397" s="706"/>
      <c r="C397" s="706"/>
      <c r="D397" s="595"/>
      <c r="E397" s="595"/>
      <c r="F397" s="595"/>
      <c r="G397" s="595"/>
      <c r="H397" s="595"/>
      <c r="I397" s="750">
        <f>D81</f>
        <v>2021</v>
      </c>
      <c r="J397" s="750">
        <f>E81</f>
        <v>2019</v>
      </c>
      <c r="K397" s="750" t="str">
        <f>F81</f>
        <v>-</v>
      </c>
      <c r="L397" s="750">
        <v>8</v>
      </c>
    </row>
    <row r="398" spans="1:21" x14ac:dyDescent="0.2">
      <c r="A398" s="595" t="s">
        <v>334</v>
      </c>
      <c r="B398" s="706"/>
      <c r="C398" s="706"/>
      <c r="D398" s="595"/>
      <c r="E398" s="595"/>
      <c r="F398" s="595"/>
      <c r="G398" s="595"/>
      <c r="H398" s="595"/>
      <c r="I398" s="750">
        <f>D92</f>
        <v>2019</v>
      </c>
      <c r="J398" s="750" t="str">
        <f>E92</f>
        <v>-</v>
      </c>
      <c r="K398" s="750" t="str">
        <f>F92</f>
        <v>-</v>
      </c>
      <c r="L398" s="750">
        <v>9</v>
      </c>
    </row>
    <row r="399" spans="1:21" x14ac:dyDescent="0.2">
      <c r="A399" s="595" t="s">
        <v>335</v>
      </c>
      <c r="B399" s="706"/>
      <c r="C399" s="706"/>
      <c r="D399" s="595"/>
      <c r="E399" s="595"/>
      <c r="F399" s="595"/>
      <c r="G399" s="595"/>
      <c r="H399" s="595"/>
      <c r="I399" s="750">
        <f>D103</f>
        <v>2019</v>
      </c>
      <c r="J399" s="750">
        <f>E103</f>
        <v>2016</v>
      </c>
      <c r="K399" s="750" t="str">
        <f>F103</f>
        <v>-</v>
      </c>
      <c r="L399" s="750">
        <v>10</v>
      </c>
    </row>
    <row r="400" spans="1:21" x14ac:dyDescent="0.2">
      <c r="A400" s="595" t="s">
        <v>336</v>
      </c>
      <c r="B400" s="706"/>
      <c r="C400" s="706"/>
      <c r="D400" s="595"/>
      <c r="E400" s="595"/>
      <c r="F400" s="595"/>
      <c r="G400" s="595"/>
      <c r="H400" s="595"/>
      <c r="I400" s="750">
        <f>D114</f>
        <v>2020</v>
      </c>
      <c r="J400" s="750">
        <f>E114</f>
        <v>2016</v>
      </c>
      <c r="K400" s="750" t="str">
        <f>F114</f>
        <v>-</v>
      </c>
      <c r="L400" s="750">
        <v>11</v>
      </c>
    </row>
    <row r="401" spans="1:12" x14ac:dyDescent="0.2">
      <c r="A401" s="595" t="s">
        <v>337</v>
      </c>
      <c r="B401" s="706"/>
      <c r="C401" s="706"/>
      <c r="D401" s="595"/>
      <c r="E401" s="595"/>
      <c r="F401" s="595"/>
      <c r="G401" s="595"/>
      <c r="H401" s="595"/>
      <c r="I401" s="750">
        <f>D125</f>
        <v>2020</v>
      </c>
      <c r="J401" s="750" t="str">
        <f>E125</f>
        <v>-</v>
      </c>
      <c r="K401" s="750" t="str">
        <f>F125</f>
        <v>-</v>
      </c>
      <c r="L401" s="750">
        <v>12</v>
      </c>
    </row>
    <row r="402" spans="1:12" x14ac:dyDescent="0.2">
      <c r="A402" s="595" t="s">
        <v>155</v>
      </c>
      <c r="B402" s="706"/>
      <c r="C402" s="706"/>
      <c r="D402" s="595"/>
      <c r="E402" s="595"/>
      <c r="F402" s="595"/>
      <c r="G402" s="595"/>
      <c r="H402" s="595"/>
      <c r="I402" s="750">
        <f>D136</f>
        <v>2022</v>
      </c>
      <c r="J402" s="750">
        <f>E136</f>
        <v>2020</v>
      </c>
      <c r="K402" s="750" t="str">
        <f>F136</f>
        <v>-</v>
      </c>
      <c r="L402" s="750">
        <v>13</v>
      </c>
    </row>
    <row r="403" spans="1:12" x14ac:dyDescent="0.2">
      <c r="A403" s="595" t="s">
        <v>338</v>
      </c>
      <c r="B403" s="706"/>
      <c r="C403" s="706"/>
      <c r="D403" s="595"/>
      <c r="E403" s="595"/>
      <c r="F403" s="595"/>
      <c r="G403" s="595"/>
      <c r="H403" s="595"/>
      <c r="I403" s="750">
        <f>D147</f>
        <v>2022</v>
      </c>
      <c r="J403" s="750">
        <f>E147</f>
        <v>2020</v>
      </c>
      <c r="K403" s="750" t="str">
        <f>F147</f>
        <v>-</v>
      </c>
      <c r="L403" s="750">
        <v>14</v>
      </c>
    </row>
    <row r="404" spans="1:12" x14ac:dyDescent="0.2">
      <c r="A404" s="595" t="s">
        <v>339</v>
      </c>
      <c r="B404" s="706"/>
      <c r="C404" s="706"/>
      <c r="D404" s="595"/>
      <c r="E404" s="595"/>
      <c r="F404" s="595"/>
      <c r="G404" s="595"/>
      <c r="H404" s="595"/>
      <c r="I404" s="750">
        <f>D158</f>
        <v>2022</v>
      </c>
      <c r="J404" s="750">
        <f>E158</f>
        <v>2020</v>
      </c>
      <c r="K404" s="750" t="str">
        <f>F158</f>
        <v>-</v>
      </c>
      <c r="L404" s="750">
        <v>15</v>
      </c>
    </row>
    <row r="405" spans="1:12" x14ac:dyDescent="0.2">
      <c r="A405" s="595" t="s">
        <v>340</v>
      </c>
      <c r="B405" s="706"/>
      <c r="C405" s="706"/>
      <c r="D405" s="595"/>
      <c r="E405" s="595"/>
      <c r="F405" s="595"/>
      <c r="G405" s="595"/>
      <c r="H405" s="595"/>
      <c r="I405" s="750">
        <f>D169</f>
        <v>2020</v>
      </c>
      <c r="J405" s="750" t="str">
        <f>E169</f>
        <v>-</v>
      </c>
      <c r="K405" s="750" t="str">
        <f>F169</f>
        <v>-</v>
      </c>
      <c r="L405" s="750">
        <v>16</v>
      </c>
    </row>
    <row r="406" spans="1:12" x14ac:dyDescent="0.2">
      <c r="A406" s="595" t="s">
        <v>341</v>
      </c>
      <c r="B406" s="706"/>
      <c r="C406" s="706"/>
      <c r="D406" s="595"/>
      <c r="E406" s="595"/>
      <c r="F406" s="595"/>
      <c r="G406" s="595"/>
      <c r="H406" s="595"/>
      <c r="I406" s="750">
        <f>D180</f>
        <v>2020</v>
      </c>
      <c r="J406" s="750" t="str">
        <f>E180</f>
        <v>-</v>
      </c>
      <c r="K406" s="750" t="str">
        <f>F180</f>
        <v>-</v>
      </c>
      <c r="L406" s="750">
        <v>17</v>
      </c>
    </row>
    <row r="407" spans="1:12" x14ac:dyDescent="0.2">
      <c r="A407" s="595" t="s">
        <v>342</v>
      </c>
      <c r="B407" s="706"/>
      <c r="C407" s="706"/>
      <c r="D407" s="595"/>
      <c r="E407" s="595"/>
      <c r="F407" s="595"/>
      <c r="G407" s="595"/>
      <c r="H407" s="595"/>
      <c r="I407" s="750">
        <f>D191</f>
        <v>2020</v>
      </c>
      <c r="J407" s="750" t="str">
        <f>E191</f>
        <v>-</v>
      </c>
      <c r="K407" s="750" t="str">
        <f>F191</f>
        <v>-</v>
      </c>
      <c r="L407" s="750">
        <v>18</v>
      </c>
    </row>
    <row r="408" spans="1:12" x14ac:dyDescent="0.2">
      <c r="A408" s="595" t="s">
        <v>343</v>
      </c>
      <c r="B408" s="706"/>
      <c r="C408" s="706"/>
      <c r="D408" s="595"/>
      <c r="E408" s="595"/>
      <c r="F408" s="595"/>
      <c r="G408" s="595"/>
      <c r="H408" s="595"/>
      <c r="I408" s="750">
        <v>2021</v>
      </c>
      <c r="J408" s="750" t="str">
        <f>E202</f>
        <v>-</v>
      </c>
      <c r="K408" s="750" t="str">
        <f>F202</f>
        <v>-</v>
      </c>
      <c r="L408" s="750">
        <v>19</v>
      </c>
    </row>
    <row r="409" spans="1:12" x14ac:dyDescent="0.2">
      <c r="A409" s="597">
        <v>20</v>
      </c>
      <c r="B409" s="706"/>
      <c r="C409" s="706"/>
      <c r="D409" s="595"/>
      <c r="E409" s="595"/>
      <c r="F409" s="595"/>
      <c r="G409" s="595"/>
      <c r="H409" s="595"/>
      <c r="I409" s="750">
        <f>D213</f>
        <v>2017</v>
      </c>
      <c r="J409" s="750" t="str">
        <f>E213</f>
        <v>-</v>
      </c>
      <c r="K409" s="750" t="str">
        <f>F213</f>
        <v>-</v>
      </c>
      <c r="L409" s="750">
        <v>20</v>
      </c>
    </row>
    <row r="410" spans="1:12" x14ac:dyDescent="0.2">
      <c r="A410" s="1313">
        <f>VLOOKUP(A389,A390:L409,12,(FALSE))</f>
        <v>13</v>
      </c>
      <c r="B410" s="1313"/>
      <c r="C410" s="1313"/>
      <c r="D410" s="1313"/>
      <c r="E410" s="1313"/>
      <c r="F410" s="1313"/>
      <c r="G410" s="1313"/>
      <c r="H410" s="1313"/>
      <c r="I410" s="1313"/>
      <c r="J410" s="1313"/>
      <c r="K410" s="1313"/>
      <c r="L410" s="1313"/>
    </row>
  </sheetData>
  <sheetProtection formatCells="0" formatColumns="0" formatRows="0" insertColumns="0" insertRows="0" insertHyperlinks="0" deleteColumns="0" deleteRows="0" sort="0" autoFilter="0" pivotTables="0"/>
  <mergeCells count="403">
    <mergeCell ref="P123:U123"/>
    <mergeCell ref="D113:F113"/>
    <mergeCell ref="K113:M113"/>
    <mergeCell ref="R113:T113"/>
    <mergeCell ref="I113:J113"/>
    <mergeCell ref="N113:N114"/>
    <mergeCell ref="B114:C114"/>
    <mergeCell ref="I114:J114"/>
    <mergeCell ref="N102:N103"/>
    <mergeCell ref="P113:Q113"/>
    <mergeCell ref="U113:U114"/>
    <mergeCell ref="P114:Q114"/>
    <mergeCell ref="I57:N57"/>
    <mergeCell ref="P57:U57"/>
    <mergeCell ref="R58:T58"/>
    <mergeCell ref="B79:G79"/>
    <mergeCell ref="D80:F80"/>
    <mergeCell ref="I79:N79"/>
    <mergeCell ref="K80:M80"/>
    <mergeCell ref="P79:U79"/>
    <mergeCell ref="R80:T80"/>
    <mergeCell ref="P80:Q80"/>
    <mergeCell ref="U80:U81"/>
    <mergeCell ref="P81:Q81"/>
    <mergeCell ref="K69:M69"/>
    <mergeCell ref="B57:G57"/>
    <mergeCell ref="D58:F58"/>
    <mergeCell ref="K58:M58"/>
    <mergeCell ref="B13:G13"/>
    <mergeCell ref="D14:F14"/>
    <mergeCell ref="I13:N13"/>
    <mergeCell ref="K14:M14"/>
    <mergeCell ref="P13:U13"/>
    <mergeCell ref="R14:T14"/>
    <mergeCell ref="G14:G15"/>
    <mergeCell ref="I14:J14"/>
    <mergeCell ref="N14:N15"/>
    <mergeCell ref="B15:C15"/>
    <mergeCell ref="I15:J15"/>
    <mergeCell ref="A211:A220"/>
    <mergeCell ref="A247:A266"/>
    <mergeCell ref="I247:I266"/>
    <mergeCell ref="Q247:Q266"/>
    <mergeCell ref="A178:A187"/>
    <mergeCell ref="A189:A198"/>
    <mergeCell ref="A200:A209"/>
    <mergeCell ref="B221:U22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A123:A132"/>
    <mergeCell ref="B124:C124"/>
    <mergeCell ref="G124:G125"/>
    <mergeCell ref="I124:J124"/>
    <mergeCell ref="N124:N125"/>
    <mergeCell ref="B125:C125"/>
    <mergeCell ref="I125:J125"/>
    <mergeCell ref="A112:A121"/>
    <mergeCell ref="B113:C113"/>
    <mergeCell ref="G113:G114"/>
    <mergeCell ref="D124:F124"/>
    <mergeCell ref="K124:M124"/>
    <mergeCell ref="B112:G112"/>
    <mergeCell ref="I112:N112"/>
    <mergeCell ref="B123:G123"/>
    <mergeCell ref="I123:N123"/>
    <mergeCell ref="B92:C92"/>
    <mergeCell ref="I92:J92"/>
    <mergeCell ref="A101:A110"/>
    <mergeCell ref="B102:C102"/>
    <mergeCell ref="G102:G103"/>
    <mergeCell ref="I102:J102"/>
    <mergeCell ref="A90:A99"/>
    <mergeCell ref="B91:C91"/>
    <mergeCell ref="G91:G92"/>
    <mergeCell ref="I91:J91"/>
    <mergeCell ref="B103:C103"/>
    <mergeCell ref="I103:J103"/>
    <mergeCell ref="B101:G101"/>
    <mergeCell ref="D102:F102"/>
    <mergeCell ref="B90:G90"/>
    <mergeCell ref="D91:F91"/>
    <mergeCell ref="I90:N90"/>
    <mergeCell ref="K91:M91"/>
    <mergeCell ref="N91:N92"/>
    <mergeCell ref="I101:N101"/>
    <mergeCell ref="K102:M102"/>
    <mergeCell ref="A79:A88"/>
    <mergeCell ref="B59:C59"/>
    <mergeCell ref="I59:J59"/>
    <mergeCell ref="A68:A77"/>
    <mergeCell ref="B80:C80"/>
    <mergeCell ref="G80:G81"/>
    <mergeCell ref="I80:J80"/>
    <mergeCell ref="N80:N81"/>
    <mergeCell ref="B81:C81"/>
    <mergeCell ref="I81:J81"/>
    <mergeCell ref="B69:C69"/>
    <mergeCell ref="G69:G70"/>
    <mergeCell ref="I69:J69"/>
    <mergeCell ref="A57:A66"/>
    <mergeCell ref="B58:C58"/>
    <mergeCell ref="G58:G59"/>
    <mergeCell ref="I58:J58"/>
    <mergeCell ref="N58:N59"/>
    <mergeCell ref="N69:N70"/>
    <mergeCell ref="B70:C70"/>
    <mergeCell ref="I70:J70"/>
    <mergeCell ref="B68:G68"/>
    <mergeCell ref="D69:F69"/>
    <mergeCell ref="I68:N68"/>
    <mergeCell ref="A46:A55"/>
    <mergeCell ref="B26:C26"/>
    <mergeCell ref="I26:J26"/>
    <mergeCell ref="A35:A44"/>
    <mergeCell ref="B47:C47"/>
    <mergeCell ref="G47:G48"/>
    <mergeCell ref="I47:J47"/>
    <mergeCell ref="N47:N48"/>
    <mergeCell ref="B48:C48"/>
    <mergeCell ref="I48:J48"/>
    <mergeCell ref="A24:A33"/>
    <mergeCell ref="B25:C25"/>
    <mergeCell ref="B24:G24"/>
    <mergeCell ref="D25:F25"/>
    <mergeCell ref="I24:N24"/>
    <mergeCell ref="K25:M25"/>
    <mergeCell ref="B46:G46"/>
    <mergeCell ref="D47:F47"/>
    <mergeCell ref="I46:N46"/>
    <mergeCell ref="K47:M47"/>
    <mergeCell ref="B35:G35"/>
    <mergeCell ref="D36:F36"/>
    <mergeCell ref="I35:N35"/>
    <mergeCell ref="K36:M36"/>
    <mergeCell ref="B36:C36"/>
    <mergeCell ref="G36:G37"/>
    <mergeCell ref="I36:J36"/>
    <mergeCell ref="N36:N37"/>
    <mergeCell ref="B37:C37"/>
    <mergeCell ref="I37:J37"/>
    <mergeCell ref="G25:G26"/>
    <mergeCell ref="I25:J25"/>
    <mergeCell ref="N25:N26"/>
    <mergeCell ref="A1:U1"/>
    <mergeCell ref="W2:X2"/>
    <mergeCell ref="P3:Q3"/>
    <mergeCell ref="U3:U4"/>
    <mergeCell ref="P4:Q4"/>
    <mergeCell ref="W13:X13"/>
    <mergeCell ref="N3:N4"/>
    <mergeCell ref="B4:C4"/>
    <mergeCell ref="I4:J4"/>
    <mergeCell ref="A13:A22"/>
    <mergeCell ref="A2:A11"/>
    <mergeCell ref="B3:C3"/>
    <mergeCell ref="G3:G4"/>
    <mergeCell ref="I3:J3"/>
    <mergeCell ref="B14:C14"/>
    <mergeCell ref="P14:Q14"/>
    <mergeCell ref="U14:U15"/>
    <mergeCell ref="P15:Q15"/>
    <mergeCell ref="D3:F3"/>
    <mergeCell ref="B2:G2"/>
    <mergeCell ref="I2:N2"/>
    <mergeCell ref="K3:M3"/>
    <mergeCell ref="P2:U2"/>
    <mergeCell ref="R3:T3"/>
    <mergeCell ref="W24:X24"/>
    <mergeCell ref="P25:Q25"/>
    <mergeCell ref="U25:U26"/>
    <mergeCell ref="P26:Q26"/>
    <mergeCell ref="W35:X35"/>
    <mergeCell ref="P37:Q37"/>
    <mergeCell ref="W46:X46"/>
    <mergeCell ref="P47:Q47"/>
    <mergeCell ref="U47:U48"/>
    <mergeCell ref="P48:Q48"/>
    <mergeCell ref="P36:Q36"/>
    <mergeCell ref="U36:U37"/>
    <mergeCell ref="R25:T25"/>
    <mergeCell ref="P24:U24"/>
    <mergeCell ref="P46:U46"/>
    <mergeCell ref="R47:T47"/>
    <mergeCell ref="P35:U35"/>
    <mergeCell ref="R36:T36"/>
    <mergeCell ref="W57:X57"/>
    <mergeCell ref="W68:X68"/>
    <mergeCell ref="P69:Q69"/>
    <mergeCell ref="U69:U70"/>
    <mergeCell ref="P70:Q70"/>
    <mergeCell ref="P58:Q58"/>
    <mergeCell ref="P68:U68"/>
    <mergeCell ref="R69:T69"/>
    <mergeCell ref="W79:X79"/>
    <mergeCell ref="U58:U59"/>
    <mergeCell ref="P59:Q59"/>
    <mergeCell ref="W90:X90"/>
    <mergeCell ref="P91:Q91"/>
    <mergeCell ref="U91:U92"/>
    <mergeCell ref="P92:Q92"/>
    <mergeCell ref="W101:X101"/>
    <mergeCell ref="P102:Q102"/>
    <mergeCell ref="U102:U103"/>
    <mergeCell ref="P103:Q103"/>
    <mergeCell ref="W112:X112"/>
    <mergeCell ref="P90:U90"/>
    <mergeCell ref="R91:T91"/>
    <mergeCell ref="P101:U101"/>
    <mergeCell ref="R102:T102"/>
    <mergeCell ref="P112:U112"/>
    <mergeCell ref="W123:X123"/>
    <mergeCell ref="P124:Q124"/>
    <mergeCell ref="U124:U125"/>
    <mergeCell ref="P125:Q125"/>
    <mergeCell ref="R124:T124"/>
    <mergeCell ref="W156:X156"/>
    <mergeCell ref="W134:X134"/>
    <mergeCell ref="B135:C135"/>
    <mergeCell ref="G135:G136"/>
    <mergeCell ref="I135:J135"/>
    <mergeCell ref="N135:N136"/>
    <mergeCell ref="P135:Q135"/>
    <mergeCell ref="U135:U136"/>
    <mergeCell ref="B136:C136"/>
    <mergeCell ref="I136:J136"/>
    <mergeCell ref="P136:Q136"/>
    <mergeCell ref="W145:X145"/>
    <mergeCell ref="B146:C146"/>
    <mergeCell ref="G146:G147"/>
    <mergeCell ref="I146:J146"/>
    <mergeCell ref="N146:N147"/>
    <mergeCell ref="P146:Q146"/>
    <mergeCell ref="U146:U147"/>
    <mergeCell ref="B147:C147"/>
    <mergeCell ref="A134:A143"/>
    <mergeCell ref="P157:Q157"/>
    <mergeCell ref="U157:U158"/>
    <mergeCell ref="B158:C158"/>
    <mergeCell ref="I158:J158"/>
    <mergeCell ref="P158:Q158"/>
    <mergeCell ref="A145:A154"/>
    <mergeCell ref="B134:G134"/>
    <mergeCell ref="I134:N134"/>
    <mergeCell ref="P134:U134"/>
    <mergeCell ref="D135:F135"/>
    <mergeCell ref="K135:M135"/>
    <mergeCell ref="R135:T135"/>
    <mergeCell ref="B145:G145"/>
    <mergeCell ref="I145:N145"/>
    <mergeCell ref="P145:U145"/>
    <mergeCell ref="D146:F146"/>
    <mergeCell ref="K146:M146"/>
    <mergeCell ref="R146:T146"/>
    <mergeCell ref="B156:G156"/>
    <mergeCell ref="I156:N156"/>
    <mergeCell ref="P156:U156"/>
    <mergeCell ref="I147:J147"/>
    <mergeCell ref="P147:Q147"/>
    <mergeCell ref="A167:A176"/>
    <mergeCell ref="A156:A165"/>
    <mergeCell ref="B157:C157"/>
    <mergeCell ref="G157:G158"/>
    <mergeCell ref="I157:J157"/>
    <mergeCell ref="N157:N158"/>
    <mergeCell ref="D157:F157"/>
    <mergeCell ref="K157:M157"/>
    <mergeCell ref="R157:T157"/>
    <mergeCell ref="B167:G167"/>
    <mergeCell ref="I167:N167"/>
    <mergeCell ref="P167:U167"/>
    <mergeCell ref="D168:F168"/>
    <mergeCell ref="K168:M168"/>
    <mergeCell ref="R168:T168"/>
    <mergeCell ref="W167:X167"/>
    <mergeCell ref="B168:C168"/>
    <mergeCell ref="G168:G169"/>
    <mergeCell ref="I168:J168"/>
    <mergeCell ref="N168:N169"/>
    <mergeCell ref="P168:Q168"/>
    <mergeCell ref="U168:U169"/>
    <mergeCell ref="B169:C169"/>
    <mergeCell ref="I169:J169"/>
    <mergeCell ref="P169:Q169"/>
    <mergeCell ref="W178:X178"/>
    <mergeCell ref="B179:C179"/>
    <mergeCell ref="G179:G180"/>
    <mergeCell ref="I179:J179"/>
    <mergeCell ref="N179:N180"/>
    <mergeCell ref="P179:Q179"/>
    <mergeCell ref="U179:U180"/>
    <mergeCell ref="B180:C180"/>
    <mergeCell ref="I180:J180"/>
    <mergeCell ref="P180:Q180"/>
    <mergeCell ref="B178:G178"/>
    <mergeCell ref="I178:N178"/>
    <mergeCell ref="P178:U178"/>
    <mergeCell ref="D179:F179"/>
    <mergeCell ref="K179:M179"/>
    <mergeCell ref="R179:T179"/>
    <mergeCell ref="W189:X189"/>
    <mergeCell ref="B190:C190"/>
    <mergeCell ref="G190:G191"/>
    <mergeCell ref="I190:J190"/>
    <mergeCell ref="N190:N191"/>
    <mergeCell ref="P190:Q190"/>
    <mergeCell ref="U190:U191"/>
    <mergeCell ref="B191:C191"/>
    <mergeCell ref="I191:J191"/>
    <mergeCell ref="P191:Q191"/>
    <mergeCell ref="B189:G189"/>
    <mergeCell ref="I189:N189"/>
    <mergeCell ref="P189:U189"/>
    <mergeCell ref="D190:F190"/>
    <mergeCell ref="K190:M190"/>
    <mergeCell ref="R190:T190"/>
    <mergeCell ref="W200:X200"/>
    <mergeCell ref="B201:C201"/>
    <mergeCell ref="G201:G202"/>
    <mergeCell ref="I201:J201"/>
    <mergeCell ref="N201:N202"/>
    <mergeCell ref="P201:Q201"/>
    <mergeCell ref="U201:U202"/>
    <mergeCell ref="B202:C202"/>
    <mergeCell ref="I202:J202"/>
    <mergeCell ref="P202:Q202"/>
    <mergeCell ref="B200:G200"/>
    <mergeCell ref="I200:N200"/>
    <mergeCell ref="P200:U200"/>
    <mergeCell ref="D201:F201"/>
    <mergeCell ref="K201:M201"/>
    <mergeCell ref="R201:T201"/>
    <mergeCell ref="W211:X211"/>
    <mergeCell ref="B212:C212"/>
    <mergeCell ref="G212:G213"/>
    <mergeCell ref="I212:J212"/>
    <mergeCell ref="N212:N213"/>
    <mergeCell ref="P212:Q212"/>
    <mergeCell ref="U212:U213"/>
    <mergeCell ref="B213:C213"/>
    <mergeCell ref="I213:J213"/>
    <mergeCell ref="P213:Q213"/>
    <mergeCell ref="B211:G211"/>
    <mergeCell ref="I211:N211"/>
    <mergeCell ref="P211:U211"/>
    <mergeCell ref="D212:F212"/>
    <mergeCell ref="K212:M212"/>
    <mergeCell ref="R212:T212"/>
    <mergeCell ref="Y223:Z223"/>
    <mergeCell ref="G224:G225"/>
    <mergeCell ref="O224:O225"/>
    <mergeCell ref="W224:W225"/>
    <mergeCell ref="Y224:Z224"/>
    <mergeCell ref="D224:F224"/>
    <mergeCell ref="L224:N224"/>
    <mergeCell ref="T224:V224"/>
    <mergeCell ref="A226:A245"/>
    <mergeCell ref="I226:I245"/>
    <mergeCell ref="Q226:Q245"/>
    <mergeCell ref="Y247:Z247"/>
    <mergeCell ref="Y248:Z248"/>
    <mergeCell ref="A268:A287"/>
    <mergeCell ref="I268:I287"/>
    <mergeCell ref="Q268:Q287"/>
    <mergeCell ref="Y271:Z271"/>
    <mergeCell ref="Y272:Z272"/>
    <mergeCell ref="A289:A308"/>
    <mergeCell ref="I289:I308"/>
    <mergeCell ref="Q289:Q308"/>
    <mergeCell ref="A310:A329"/>
    <mergeCell ref="I310:I329"/>
    <mergeCell ref="Q310:Q329"/>
    <mergeCell ref="A331:A350"/>
    <mergeCell ref="I331:I350"/>
    <mergeCell ref="Q331:Q350"/>
    <mergeCell ref="A352:A371"/>
    <mergeCell ref="I352:I371"/>
    <mergeCell ref="Q352:Q371"/>
    <mergeCell ref="S381:S383"/>
    <mergeCell ref="N389:P389"/>
    <mergeCell ref="A410:L410"/>
    <mergeCell ref="A389:L389"/>
    <mergeCell ref="T373:W373"/>
    <mergeCell ref="E374:E375"/>
    <mergeCell ref="K374:K375"/>
    <mergeCell ref="Q374:Q375"/>
    <mergeCell ref="S374:S376"/>
    <mergeCell ref="T374:T376"/>
    <mergeCell ref="U374:U376"/>
    <mergeCell ref="V374:V376"/>
    <mergeCell ref="W374:W376"/>
    <mergeCell ref="B373:E373"/>
    <mergeCell ref="B374:D374"/>
    <mergeCell ref="H373:K373"/>
    <mergeCell ref="H374:J374"/>
    <mergeCell ref="N373:Q373"/>
    <mergeCell ref="N374:P374"/>
  </mergeCells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C898-8113-43C7-AC70-17DEC0DC08F8}">
  <sheetPr codeName="Sheet9"/>
  <dimension ref="A1:G12"/>
  <sheetViews>
    <sheetView showGridLines="0" view="pageBreakPreview" zoomScaleNormal="100" zoomScaleSheetLayoutView="100" workbookViewId="0">
      <selection activeCell="B8" sqref="B8"/>
    </sheetView>
  </sheetViews>
  <sheetFormatPr defaultRowHeight="12.75" x14ac:dyDescent="0.2"/>
  <cols>
    <col min="1" max="1" width="14.140625" customWidth="1"/>
    <col min="3" max="3" width="15.85546875" customWidth="1"/>
    <col min="5" max="5" width="12.28515625" customWidth="1"/>
  </cols>
  <sheetData>
    <row r="1" spans="1:7" ht="20.25" x14ac:dyDescent="0.2">
      <c r="A1" s="1361" t="s">
        <v>526</v>
      </c>
      <c r="B1" s="1361"/>
      <c r="C1" s="1361"/>
      <c r="D1" s="1361"/>
      <c r="E1" s="1361"/>
      <c r="F1" s="1361"/>
      <c r="G1" s="1361"/>
    </row>
    <row r="2" spans="1:7" ht="20.25" x14ac:dyDescent="0.2">
      <c r="A2" s="469"/>
      <c r="B2" s="469"/>
      <c r="C2" s="469"/>
      <c r="D2" s="469"/>
      <c r="E2" s="469"/>
      <c r="F2" s="469"/>
      <c r="G2" s="469"/>
    </row>
    <row r="4" spans="1:7" s="468" customFormat="1" ht="15.75" x14ac:dyDescent="0.25">
      <c r="A4" s="468" t="str">
        <f>ID!B31</f>
        <v>Hasil Pengukuran Kinerja</v>
      </c>
    </row>
    <row r="5" spans="1:7" s="468" customFormat="1" ht="15.75" x14ac:dyDescent="0.25"/>
    <row r="6" spans="1:7" ht="15.75" x14ac:dyDescent="0.2">
      <c r="A6" s="287" t="s">
        <v>34</v>
      </c>
      <c r="B6" s="288" t="s">
        <v>527</v>
      </c>
      <c r="C6" s="1359" t="s">
        <v>528</v>
      </c>
      <c r="D6" s="1359"/>
      <c r="E6" s="287" t="s">
        <v>529</v>
      </c>
    </row>
    <row r="7" spans="1:7" ht="15" x14ac:dyDescent="0.2">
      <c r="A7" s="286" t="str">
        <f>ID!C34</f>
        <v>Flowrate (ml/h)</v>
      </c>
      <c r="B7" s="941">
        <f>PENYELIA!O33/25*100</f>
        <v>75</v>
      </c>
      <c r="C7" s="941">
        <f>B7/100*25</f>
        <v>18.75</v>
      </c>
      <c r="D7" s="942">
        <f>IF(C7&lt;17.5,0,IF(C7&gt;=17.5,C7))</f>
        <v>18.75</v>
      </c>
      <c r="E7" s="289" t="str">
        <f>IF(C7&gt;=17.5,"PASS",IF(C7&lt;17.5,"FAIL"))</f>
        <v>PASS</v>
      </c>
    </row>
    <row r="8" spans="1:7" ht="15" x14ac:dyDescent="0.2">
      <c r="A8" s="286" t="str">
        <f>ID!C41</f>
        <v>Occlusion (PSI)</v>
      </c>
      <c r="B8" s="941">
        <f>PENYELIA!N39/25*100</f>
        <v>100</v>
      </c>
      <c r="C8" s="941">
        <f>B8/100*25</f>
        <v>25</v>
      </c>
      <c r="D8" s="942">
        <f>IF(C8&lt;17.5,0,IF(C8&gt;=17.5,C8))</f>
        <v>25</v>
      </c>
      <c r="E8" s="289" t="str">
        <f>IF(C8&gt;=17.5,"PASS",IF(C8&lt;17.5,"FAIL"))</f>
        <v>PASS</v>
      </c>
    </row>
    <row r="10" spans="1:7" ht="15" x14ac:dyDescent="0.2">
      <c r="A10" s="1212" t="s">
        <v>530</v>
      </c>
      <c r="B10" s="1212"/>
      <c r="C10" s="1212"/>
    </row>
    <row r="11" spans="1:7" ht="15" x14ac:dyDescent="0.2">
      <c r="A11" s="1360" t="s">
        <v>531</v>
      </c>
      <c r="B11" s="1360"/>
      <c r="C11" s="944" t="s">
        <v>156</v>
      </c>
    </row>
    <row r="12" spans="1:7" ht="15" x14ac:dyDescent="0.2">
      <c r="A12" s="943">
        <f>D7+D8</f>
        <v>43.75</v>
      </c>
      <c r="B12" s="942">
        <f>IF(A12&lt;35,0,IF(A12&gt;=35,50))</f>
        <v>50</v>
      </c>
      <c r="C12" s="289" t="str">
        <f>IF(A12&gt;37.5,"PASS",IF(A12&lt;37.5,"FAIL"))</f>
        <v>PASS</v>
      </c>
    </row>
  </sheetData>
  <mergeCells count="4">
    <mergeCell ref="C6:D6"/>
    <mergeCell ref="A10:C10"/>
    <mergeCell ref="A11:B11"/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6A07-7235-4A30-AEC9-50509BE1974B}">
  <sheetPr codeName="Sheet7"/>
  <dimension ref="A2:E100"/>
  <sheetViews>
    <sheetView view="pageBreakPreview" zoomScale="90" zoomScaleNormal="100" zoomScaleSheetLayoutView="90" workbookViewId="0">
      <selection activeCell="C10" sqref="C10"/>
    </sheetView>
  </sheetViews>
  <sheetFormatPr defaultRowHeight="12.75" x14ac:dyDescent="0.2"/>
  <cols>
    <col min="2" max="2" width="32.85546875" customWidth="1"/>
    <col min="3" max="3" width="43.42578125" customWidth="1"/>
    <col min="4" max="4" width="49.28515625" customWidth="1"/>
    <col min="5" max="5" width="14.5703125" customWidth="1"/>
  </cols>
  <sheetData>
    <row r="2" spans="1:5" x14ac:dyDescent="0.2">
      <c r="A2" s="1119" t="s">
        <v>91</v>
      </c>
      <c r="B2" s="1119" t="s">
        <v>92</v>
      </c>
      <c r="C2" s="1119" t="s">
        <v>93</v>
      </c>
      <c r="D2" s="1119"/>
      <c r="E2" s="1119" t="s">
        <v>94</v>
      </c>
    </row>
    <row r="3" spans="1:5" x14ac:dyDescent="0.2">
      <c r="A3" s="1119"/>
      <c r="B3" s="1119"/>
      <c r="C3" s="437" t="s">
        <v>17</v>
      </c>
      <c r="D3" s="437" t="s">
        <v>18</v>
      </c>
      <c r="E3" s="1119"/>
    </row>
    <row r="4" spans="1:5" x14ac:dyDescent="0.2">
      <c r="A4" s="436">
        <v>1</v>
      </c>
      <c r="B4" s="346">
        <v>44223</v>
      </c>
      <c r="C4" s="466" t="s">
        <v>95</v>
      </c>
      <c r="D4" s="467" t="s">
        <v>96</v>
      </c>
      <c r="E4" s="436" t="s">
        <v>97</v>
      </c>
    </row>
    <row r="5" spans="1:5" ht="14.25" x14ac:dyDescent="0.2">
      <c r="A5" s="436">
        <v>2</v>
      </c>
      <c r="B5" s="346" t="s">
        <v>98</v>
      </c>
      <c r="C5" s="347" t="s">
        <v>99</v>
      </c>
      <c r="D5" s="348" t="s">
        <v>100</v>
      </c>
      <c r="E5" s="436" t="s">
        <v>101</v>
      </c>
    </row>
    <row r="6" spans="1:5" x14ac:dyDescent="0.2">
      <c r="A6" s="436">
        <v>3</v>
      </c>
      <c r="B6" s="346">
        <v>44298</v>
      </c>
      <c r="C6" s="389" t="s">
        <v>102</v>
      </c>
      <c r="D6" s="436" t="s">
        <v>103</v>
      </c>
      <c r="E6" s="436" t="s">
        <v>104</v>
      </c>
    </row>
    <row r="7" spans="1:5" ht="12.75" customHeight="1" x14ac:dyDescent="0.2">
      <c r="A7" s="436">
        <v>4</v>
      </c>
      <c r="B7" s="346">
        <v>44298</v>
      </c>
      <c r="C7" s="389" t="s">
        <v>105</v>
      </c>
      <c r="D7" s="436" t="s">
        <v>106</v>
      </c>
      <c r="E7" s="436" t="s">
        <v>104</v>
      </c>
    </row>
    <row r="8" spans="1:5" ht="81" customHeight="1" x14ac:dyDescent="0.2">
      <c r="A8" s="436">
        <v>5</v>
      </c>
      <c r="B8" s="346">
        <v>44298</v>
      </c>
      <c r="C8" s="389" t="s">
        <v>107</v>
      </c>
      <c r="D8" s="389" t="s">
        <v>108</v>
      </c>
      <c r="E8" s="436" t="s">
        <v>104</v>
      </c>
    </row>
    <row r="9" spans="1:5" ht="63.75" x14ac:dyDescent="0.2">
      <c r="A9" s="436">
        <v>6</v>
      </c>
      <c r="B9" s="346" t="s">
        <v>109</v>
      </c>
      <c r="C9" s="389" t="s">
        <v>110</v>
      </c>
      <c r="D9" s="389" t="s">
        <v>111</v>
      </c>
      <c r="E9" s="436" t="s">
        <v>104</v>
      </c>
    </row>
    <row r="10" spans="1:5" ht="76.5" x14ac:dyDescent="0.2">
      <c r="A10" s="436">
        <v>7</v>
      </c>
      <c r="B10" s="346" t="s">
        <v>112</v>
      </c>
      <c r="C10" s="389" t="s">
        <v>113</v>
      </c>
      <c r="D10" s="389" t="s">
        <v>114</v>
      </c>
      <c r="E10" s="436" t="s">
        <v>115</v>
      </c>
    </row>
    <row r="11" spans="1:5" ht="25.5" x14ac:dyDescent="0.2">
      <c r="A11" s="436">
        <v>8</v>
      </c>
      <c r="B11" s="346">
        <v>44483</v>
      </c>
      <c r="C11" s="389" t="s">
        <v>116</v>
      </c>
      <c r="D11" s="436" t="s">
        <v>117</v>
      </c>
      <c r="E11" s="436" t="s">
        <v>115</v>
      </c>
    </row>
    <row r="12" spans="1:5" x14ac:dyDescent="0.2">
      <c r="A12" s="1124">
        <v>9</v>
      </c>
      <c r="B12" s="1120">
        <v>44656</v>
      </c>
      <c r="C12" s="892" t="s">
        <v>538</v>
      </c>
      <c r="D12" s="1123" t="s">
        <v>117</v>
      </c>
      <c r="E12" s="1123" t="s">
        <v>541</v>
      </c>
    </row>
    <row r="13" spans="1:5" x14ac:dyDescent="0.2">
      <c r="A13" s="1125"/>
      <c r="B13" s="1121"/>
      <c r="C13" s="893" t="s">
        <v>539</v>
      </c>
      <c r="D13" s="1121"/>
      <c r="E13" s="1121"/>
    </row>
    <row r="14" spans="1:5" x14ac:dyDescent="0.2">
      <c r="A14" s="1126"/>
      <c r="B14" s="1122"/>
      <c r="C14" s="894" t="s">
        <v>540</v>
      </c>
      <c r="D14" s="1122"/>
      <c r="E14" s="1122"/>
    </row>
    <row r="15" spans="1:5" ht="12.75" customHeight="1" x14ac:dyDescent="0.2">
      <c r="A15" s="436">
        <v>10</v>
      </c>
      <c r="B15" s="346" t="s">
        <v>542</v>
      </c>
      <c r="C15" s="436" t="s">
        <v>543</v>
      </c>
      <c r="D15" s="436" t="s">
        <v>544</v>
      </c>
      <c r="E15" s="895" t="s">
        <v>541</v>
      </c>
    </row>
    <row r="16" spans="1:5" ht="12.75" customHeight="1" x14ac:dyDescent="0.2">
      <c r="A16" s="436"/>
      <c r="B16" s="346"/>
      <c r="C16" s="436"/>
      <c r="D16" s="436"/>
      <c r="E16" s="465"/>
    </row>
    <row r="17" spans="1:5" x14ac:dyDescent="0.2">
      <c r="A17" s="436"/>
      <c r="B17" s="346"/>
      <c r="C17" s="436"/>
      <c r="D17" s="436"/>
      <c r="E17" s="465"/>
    </row>
    <row r="18" spans="1:5" x14ac:dyDescent="0.2">
      <c r="A18" s="436"/>
      <c r="B18" s="346"/>
      <c r="C18" s="436"/>
      <c r="D18" s="436"/>
      <c r="E18" s="465"/>
    </row>
    <row r="19" spans="1:5" x14ac:dyDescent="0.2">
      <c r="A19" s="436"/>
      <c r="B19" s="346"/>
      <c r="C19" s="436"/>
      <c r="D19" s="436"/>
      <c r="E19" s="465"/>
    </row>
    <row r="20" spans="1:5" x14ac:dyDescent="0.2">
      <c r="A20" s="436"/>
      <c r="B20" s="346"/>
      <c r="C20" s="436"/>
      <c r="D20" s="436"/>
      <c r="E20" s="465"/>
    </row>
    <row r="21" spans="1:5" x14ac:dyDescent="0.2">
      <c r="A21" s="436"/>
      <c r="B21" s="346"/>
      <c r="C21" s="436"/>
      <c r="D21" s="436"/>
      <c r="E21" s="465"/>
    </row>
    <row r="22" spans="1:5" x14ac:dyDescent="0.2">
      <c r="A22" s="436"/>
      <c r="B22" s="346"/>
      <c r="C22" s="436"/>
      <c r="D22" s="436"/>
      <c r="E22" s="465"/>
    </row>
    <row r="23" spans="1:5" x14ac:dyDescent="0.2">
      <c r="A23" s="436"/>
      <c r="B23" s="346"/>
      <c r="C23" s="436"/>
      <c r="D23" s="436"/>
      <c r="E23" s="465"/>
    </row>
    <row r="24" spans="1:5" x14ac:dyDescent="0.2">
      <c r="A24" s="436"/>
      <c r="B24" s="346"/>
      <c r="C24" s="436"/>
      <c r="D24" s="436"/>
      <c r="E24" s="465"/>
    </row>
    <row r="25" spans="1:5" x14ac:dyDescent="0.2">
      <c r="A25" s="436"/>
      <c r="B25" s="346"/>
      <c r="C25" s="436"/>
      <c r="D25" s="436"/>
      <c r="E25" s="465"/>
    </row>
    <row r="26" spans="1:5" x14ac:dyDescent="0.2">
      <c r="A26" s="436"/>
      <c r="B26" s="346"/>
      <c r="C26" s="436"/>
      <c r="D26" s="436"/>
      <c r="E26" s="465"/>
    </row>
    <row r="27" spans="1:5" x14ac:dyDescent="0.2">
      <c r="A27" s="436"/>
      <c r="B27" s="346"/>
      <c r="C27" s="436"/>
      <c r="D27" s="436"/>
      <c r="E27" s="465"/>
    </row>
    <row r="28" spans="1:5" x14ac:dyDescent="0.2">
      <c r="A28" s="436"/>
      <c r="B28" s="346"/>
      <c r="C28" s="436"/>
      <c r="D28" s="436"/>
      <c r="E28" s="465"/>
    </row>
    <row r="29" spans="1:5" x14ac:dyDescent="0.2">
      <c r="A29" s="436"/>
      <c r="B29" s="346"/>
      <c r="C29" s="436"/>
      <c r="D29" s="436"/>
      <c r="E29" s="465"/>
    </row>
    <row r="30" spans="1:5" x14ac:dyDescent="0.2">
      <c r="A30" s="436"/>
      <c r="B30" s="346"/>
      <c r="C30" s="436"/>
      <c r="D30" s="436"/>
      <c r="E30" s="465"/>
    </row>
    <row r="31" spans="1:5" x14ac:dyDescent="0.2">
      <c r="A31" s="436"/>
      <c r="B31" s="346"/>
      <c r="C31" s="436"/>
      <c r="D31" s="436"/>
      <c r="E31" s="465"/>
    </row>
    <row r="100" spans="1:1" x14ac:dyDescent="0.2">
      <c r="A100" s="464" t="s">
        <v>545</v>
      </c>
    </row>
  </sheetData>
  <sheetProtection algorithmName="SHA-512" hashValue="J5WrZNT/f5QjL4ZM7jI4S4MBM3Th8f48ETX8BbZOXVLUr5nzvHGOOV0SM7Se3TspGHV/ZeRcckI0EtdOpl9fQg==" saltValue="wpwNXa2jVE+Cn4srTmHy3w==" spinCount="100000" sheet="1" objects="1" scenarios="1"/>
  <mergeCells count="8">
    <mergeCell ref="A2:A3"/>
    <mergeCell ref="B2:B3"/>
    <mergeCell ref="C2:D2"/>
    <mergeCell ref="E2:E3"/>
    <mergeCell ref="B12:B14"/>
    <mergeCell ref="D12:D14"/>
    <mergeCell ref="E12:E14"/>
    <mergeCell ref="A12:A14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W69"/>
  <sheetViews>
    <sheetView showGridLines="0" view="pageBreakPreview" zoomScaleNormal="100" zoomScaleSheetLayoutView="100" zoomScalePageLayoutView="80" workbookViewId="0">
      <selection activeCell="J15" sqref="J15"/>
    </sheetView>
  </sheetViews>
  <sheetFormatPr defaultRowHeight="12.75" x14ac:dyDescent="0.2"/>
  <cols>
    <col min="1" max="1" width="18.85546875" style="1" customWidth="1"/>
    <col min="2" max="2" width="7.5703125" style="1" customWidth="1"/>
    <col min="3" max="3" width="9.140625" style="1"/>
    <col min="4" max="4" width="9.140625" style="1" customWidth="1"/>
    <col min="5" max="5" width="9.140625" style="1"/>
    <col min="6" max="6" width="8.7109375" style="1" customWidth="1"/>
    <col min="7" max="7" width="8.5703125" style="1" customWidth="1"/>
    <col min="8" max="8" width="7.5703125" style="1" customWidth="1"/>
    <col min="9" max="9" width="9.140625" style="1" customWidth="1"/>
    <col min="10" max="10" width="9.140625" style="1"/>
    <col min="11" max="11" width="12.42578125" style="1" customWidth="1"/>
    <col min="12" max="12" width="10.85546875" style="1" customWidth="1"/>
    <col min="13" max="13" width="18.7109375" style="1" customWidth="1"/>
    <col min="14" max="14" width="7.7109375" style="1" customWidth="1"/>
    <col min="15" max="251" width="9.140625" style="1"/>
    <col min="252" max="252" width="13.42578125" style="1" customWidth="1"/>
    <col min="253" max="253" width="9.140625" style="1"/>
    <col min="254" max="254" width="17" style="1" customWidth="1"/>
    <col min="255" max="255" width="7.5703125" style="1" customWidth="1"/>
    <col min="256" max="256" width="9.140625" style="1"/>
    <col min="257" max="257" width="9.140625" style="1" customWidth="1"/>
    <col min="258" max="258" width="9.140625" style="1"/>
    <col min="259" max="259" width="8.7109375" style="1" customWidth="1"/>
    <col min="260" max="260" width="7.42578125" style="1" customWidth="1"/>
    <col min="261" max="261" width="7.5703125" style="1" customWidth="1"/>
    <col min="262" max="262" width="9.140625" style="1" customWidth="1"/>
    <col min="263" max="263" width="9.140625" style="1"/>
    <col min="264" max="264" width="10" style="1" customWidth="1"/>
    <col min="265" max="265" width="7.85546875" style="1" customWidth="1"/>
    <col min="266" max="266" width="6.140625" style="1" customWidth="1"/>
    <col min="267" max="267" width="8.7109375" style="1" customWidth="1"/>
    <col min="268" max="507" width="9.140625" style="1"/>
    <col min="508" max="508" width="13.42578125" style="1" customWidth="1"/>
    <col min="509" max="509" width="9.140625" style="1"/>
    <col min="510" max="510" width="17" style="1" customWidth="1"/>
    <col min="511" max="511" width="7.5703125" style="1" customWidth="1"/>
    <col min="512" max="512" width="9.140625" style="1"/>
    <col min="513" max="513" width="9.140625" style="1" customWidth="1"/>
    <col min="514" max="514" width="9.140625" style="1"/>
    <col min="515" max="515" width="8.7109375" style="1" customWidth="1"/>
    <col min="516" max="516" width="7.42578125" style="1" customWidth="1"/>
    <col min="517" max="517" width="7.5703125" style="1" customWidth="1"/>
    <col min="518" max="518" width="9.140625" style="1" customWidth="1"/>
    <col min="519" max="519" width="9.140625" style="1"/>
    <col min="520" max="520" width="10" style="1" customWidth="1"/>
    <col min="521" max="521" width="7.85546875" style="1" customWidth="1"/>
    <col min="522" max="522" width="6.140625" style="1" customWidth="1"/>
    <col min="523" max="523" width="8.7109375" style="1" customWidth="1"/>
    <col min="524" max="763" width="9.140625" style="1"/>
    <col min="764" max="764" width="13.42578125" style="1" customWidth="1"/>
    <col min="765" max="765" width="9.140625" style="1"/>
    <col min="766" max="766" width="17" style="1" customWidth="1"/>
    <col min="767" max="767" width="7.5703125" style="1" customWidth="1"/>
    <col min="768" max="768" width="9.140625" style="1"/>
    <col min="769" max="769" width="9.140625" style="1" customWidth="1"/>
    <col min="770" max="770" width="9.140625" style="1"/>
    <col min="771" max="771" width="8.7109375" style="1" customWidth="1"/>
    <col min="772" max="772" width="7.42578125" style="1" customWidth="1"/>
    <col min="773" max="773" width="7.5703125" style="1" customWidth="1"/>
    <col min="774" max="774" width="9.140625" style="1" customWidth="1"/>
    <col min="775" max="775" width="9.140625" style="1"/>
    <col min="776" max="776" width="10" style="1" customWidth="1"/>
    <col min="777" max="777" width="7.85546875" style="1" customWidth="1"/>
    <col min="778" max="778" width="6.140625" style="1" customWidth="1"/>
    <col min="779" max="779" width="8.7109375" style="1" customWidth="1"/>
    <col min="780" max="1019" width="9.140625" style="1"/>
    <col min="1020" max="1020" width="13.42578125" style="1" customWidth="1"/>
    <col min="1021" max="1021" width="9.140625" style="1"/>
    <col min="1022" max="1022" width="17" style="1" customWidth="1"/>
    <col min="1023" max="1023" width="7.5703125" style="1" customWidth="1"/>
    <col min="1024" max="1024" width="9.140625" style="1"/>
    <col min="1025" max="1025" width="9.140625" style="1" customWidth="1"/>
    <col min="1026" max="1026" width="9.140625" style="1"/>
    <col min="1027" max="1027" width="8.7109375" style="1" customWidth="1"/>
    <col min="1028" max="1028" width="7.42578125" style="1" customWidth="1"/>
    <col min="1029" max="1029" width="7.5703125" style="1" customWidth="1"/>
    <col min="1030" max="1030" width="9.140625" style="1" customWidth="1"/>
    <col min="1031" max="1031" width="9.140625" style="1"/>
    <col min="1032" max="1032" width="10" style="1" customWidth="1"/>
    <col min="1033" max="1033" width="7.85546875" style="1" customWidth="1"/>
    <col min="1034" max="1034" width="6.140625" style="1" customWidth="1"/>
    <col min="1035" max="1035" width="8.7109375" style="1" customWidth="1"/>
    <col min="1036" max="1275" width="9.140625" style="1"/>
    <col min="1276" max="1276" width="13.42578125" style="1" customWidth="1"/>
    <col min="1277" max="1277" width="9.140625" style="1"/>
    <col min="1278" max="1278" width="17" style="1" customWidth="1"/>
    <col min="1279" max="1279" width="7.5703125" style="1" customWidth="1"/>
    <col min="1280" max="1280" width="9.140625" style="1"/>
    <col min="1281" max="1281" width="9.140625" style="1" customWidth="1"/>
    <col min="1282" max="1282" width="9.140625" style="1"/>
    <col min="1283" max="1283" width="8.7109375" style="1" customWidth="1"/>
    <col min="1284" max="1284" width="7.42578125" style="1" customWidth="1"/>
    <col min="1285" max="1285" width="7.5703125" style="1" customWidth="1"/>
    <col min="1286" max="1286" width="9.140625" style="1" customWidth="1"/>
    <col min="1287" max="1287" width="9.140625" style="1"/>
    <col min="1288" max="1288" width="10" style="1" customWidth="1"/>
    <col min="1289" max="1289" width="7.85546875" style="1" customWidth="1"/>
    <col min="1290" max="1290" width="6.140625" style="1" customWidth="1"/>
    <col min="1291" max="1291" width="8.7109375" style="1" customWidth="1"/>
    <col min="1292" max="1531" width="9.140625" style="1"/>
    <col min="1532" max="1532" width="13.42578125" style="1" customWidth="1"/>
    <col min="1533" max="1533" width="9.140625" style="1"/>
    <col min="1534" max="1534" width="17" style="1" customWidth="1"/>
    <col min="1535" max="1535" width="7.5703125" style="1" customWidth="1"/>
    <col min="1536" max="1536" width="9.140625" style="1"/>
    <col min="1537" max="1537" width="9.140625" style="1" customWidth="1"/>
    <col min="1538" max="1538" width="9.140625" style="1"/>
    <col min="1539" max="1539" width="8.7109375" style="1" customWidth="1"/>
    <col min="1540" max="1540" width="7.42578125" style="1" customWidth="1"/>
    <col min="1541" max="1541" width="7.5703125" style="1" customWidth="1"/>
    <col min="1542" max="1542" width="9.140625" style="1" customWidth="1"/>
    <col min="1543" max="1543" width="9.140625" style="1"/>
    <col min="1544" max="1544" width="10" style="1" customWidth="1"/>
    <col min="1545" max="1545" width="7.85546875" style="1" customWidth="1"/>
    <col min="1546" max="1546" width="6.140625" style="1" customWidth="1"/>
    <col min="1547" max="1547" width="8.7109375" style="1" customWidth="1"/>
    <col min="1548" max="1787" width="9.140625" style="1"/>
    <col min="1788" max="1788" width="13.42578125" style="1" customWidth="1"/>
    <col min="1789" max="1789" width="9.140625" style="1"/>
    <col min="1790" max="1790" width="17" style="1" customWidth="1"/>
    <col min="1791" max="1791" width="7.5703125" style="1" customWidth="1"/>
    <col min="1792" max="1792" width="9.140625" style="1"/>
    <col min="1793" max="1793" width="9.140625" style="1" customWidth="1"/>
    <col min="1794" max="1794" width="9.140625" style="1"/>
    <col min="1795" max="1795" width="8.7109375" style="1" customWidth="1"/>
    <col min="1796" max="1796" width="7.42578125" style="1" customWidth="1"/>
    <col min="1797" max="1797" width="7.5703125" style="1" customWidth="1"/>
    <col min="1798" max="1798" width="9.140625" style="1" customWidth="1"/>
    <col min="1799" max="1799" width="9.140625" style="1"/>
    <col min="1800" max="1800" width="10" style="1" customWidth="1"/>
    <col min="1801" max="1801" width="7.85546875" style="1" customWidth="1"/>
    <col min="1802" max="1802" width="6.140625" style="1" customWidth="1"/>
    <col min="1803" max="1803" width="8.7109375" style="1" customWidth="1"/>
    <col min="1804" max="2043" width="9.140625" style="1"/>
    <col min="2044" max="2044" width="13.42578125" style="1" customWidth="1"/>
    <col min="2045" max="2045" width="9.140625" style="1"/>
    <col min="2046" max="2046" width="17" style="1" customWidth="1"/>
    <col min="2047" max="2047" width="7.5703125" style="1" customWidth="1"/>
    <col min="2048" max="2048" width="9.140625" style="1"/>
    <col min="2049" max="2049" width="9.140625" style="1" customWidth="1"/>
    <col min="2050" max="2050" width="9.140625" style="1"/>
    <col min="2051" max="2051" width="8.7109375" style="1" customWidth="1"/>
    <col min="2052" max="2052" width="7.42578125" style="1" customWidth="1"/>
    <col min="2053" max="2053" width="7.5703125" style="1" customWidth="1"/>
    <col min="2054" max="2054" width="9.140625" style="1" customWidth="1"/>
    <col min="2055" max="2055" width="9.140625" style="1"/>
    <col min="2056" max="2056" width="10" style="1" customWidth="1"/>
    <col min="2057" max="2057" width="7.85546875" style="1" customWidth="1"/>
    <col min="2058" max="2058" width="6.140625" style="1" customWidth="1"/>
    <col min="2059" max="2059" width="8.7109375" style="1" customWidth="1"/>
    <col min="2060" max="2299" width="9.140625" style="1"/>
    <col min="2300" max="2300" width="13.42578125" style="1" customWidth="1"/>
    <col min="2301" max="2301" width="9.140625" style="1"/>
    <col min="2302" max="2302" width="17" style="1" customWidth="1"/>
    <col min="2303" max="2303" width="7.5703125" style="1" customWidth="1"/>
    <col min="2304" max="2304" width="9.140625" style="1"/>
    <col min="2305" max="2305" width="9.140625" style="1" customWidth="1"/>
    <col min="2306" max="2306" width="9.140625" style="1"/>
    <col min="2307" max="2307" width="8.7109375" style="1" customWidth="1"/>
    <col min="2308" max="2308" width="7.42578125" style="1" customWidth="1"/>
    <col min="2309" max="2309" width="7.5703125" style="1" customWidth="1"/>
    <col min="2310" max="2310" width="9.140625" style="1" customWidth="1"/>
    <col min="2311" max="2311" width="9.140625" style="1"/>
    <col min="2312" max="2312" width="10" style="1" customWidth="1"/>
    <col min="2313" max="2313" width="7.85546875" style="1" customWidth="1"/>
    <col min="2314" max="2314" width="6.140625" style="1" customWidth="1"/>
    <col min="2315" max="2315" width="8.7109375" style="1" customWidth="1"/>
    <col min="2316" max="2555" width="9.140625" style="1"/>
    <col min="2556" max="2556" width="13.42578125" style="1" customWidth="1"/>
    <col min="2557" max="2557" width="9.140625" style="1"/>
    <col min="2558" max="2558" width="17" style="1" customWidth="1"/>
    <col min="2559" max="2559" width="7.5703125" style="1" customWidth="1"/>
    <col min="2560" max="2560" width="9.140625" style="1"/>
    <col min="2561" max="2561" width="9.140625" style="1" customWidth="1"/>
    <col min="2562" max="2562" width="9.140625" style="1"/>
    <col min="2563" max="2563" width="8.7109375" style="1" customWidth="1"/>
    <col min="2564" max="2564" width="7.42578125" style="1" customWidth="1"/>
    <col min="2565" max="2565" width="7.5703125" style="1" customWidth="1"/>
    <col min="2566" max="2566" width="9.140625" style="1" customWidth="1"/>
    <col min="2567" max="2567" width="9.140625" style="1"/>
    <col min="2568" max="2568" width="10" style="1" customWidth="1"/>
    <col min="2569" max="2569" width="7.85546875" style="1" customWidth="1"/>
    <col min="2570" max="2570" width="6.140625" style="1" customWidth="1"/>
    <col min="2571" max="2571" width="8.7109375" style="1" customWidth="1"/>
    <col min="2572" max="2811" width="9.140625" style="1"/>
    <col min="2812" max="2812" width="13.42578125" style="1" customWidth="1"/>
    <col min="2813" max="2813" width="9.140625" style="1"/>
    <col min="2814" max="2814" width="17" style="1" customWidth="1"/>
    <col min="2815" max="2815" width="7.5703125" style="1" customWidth="1"/>
    <col min="2816" max="2816" width="9.140625" style="1"/>
    <col min="2817" max="2817" width="9.140625" style="1" customWidth="1"/>
    <col min="2818" max="2818" width="9.140625" style="1"/>
    <col min="2819" max="2819" width="8.7109375" style="1" customWidth="1"/>
    <col min="2820" max="2820" width="7.42578125" style="1" customWidth="1"/>
    <col min="2821" max="2821" width="7.5703125" style="1" customWidth="1"/>
    <col min="2822" max="2822" width="9.140625" style="1" customWidth="1"/>
    <col min="2823" max="2823" width="9.140625" style="1"/>
    <col min="2824" max="2824" width="10" style="1" customWidth="1"/>
    <col min="2825" max="2825" width="7.85546875" style="1" customWidth="1"/>
    <col min="2826" max="2826" width="6.140625" style="1" customWidth="1"/>
    <col min="2827" max="2827" width="8.7109375" style="1" customWidth="1"/>
    <col min="2828" max="3067" width="9.140625" style="1"/>
    <col min="3068" max="3068" width="13.42578125" style="1" customWidth="1"/>
    <col min="3069" max="3069" width="9.140625" style="1"/>
    <col min="3070" max="3070" width="17" style="1" customWidth="1"/>
    <col min="3071" max="3071" width="7.5703125" style="1" customWidth="1"/>
    <col min="3072" max="3072" width="9.140625" style="1"/>
    <col min="3073" max="3073" width="9.140625" style="1" customWidth="1"/>
    <col min="3074" max="3074" width="9.140625" style="1"/>
    <col min="3075" max="3075" width="8.7109375" style="1" customWidth="1"/>
    <col min="3076" max="3076" width="7.42578125" style="1" customWidth="1"/>
    <col min="3077" max="3077" width="7.5703125" style="1" customWidth="1"/>
    <col min="3078" max="3078" width="9.140625" style="1" customWidth="1"/>
    <col min="3079" max="3079" width="9.140625" style="1"/>
    <col min="3080" max="3080" width="10" style="1" customWidth="1"/>
    <col min="3081" max="3081" width="7.85546875" style="1" customWidth="1"/>
    <col min="3082" max="3082" width="6.140625" style="1" customWidth="1"/>
    <col min="3083" max="3083" width="8.7109375" style="1" customWidth="1"/>
    <col min="3084" max="3323" width="9.140625" style="1"/>
    <col min="3324" max="3324" width="13.42578125" style="1" customWidth="1"/>
    <col min="3325" max="3325" width="9.140625" style="1"/>
    <col min="3326" max="3326" width="17" style="1" customWidth="1"/>
    <col min="3327" max="3327" width="7.5703125" style="1" customWidth="1"/>
    <col min="3328" max="3328" width="9.140625" style="1"/>
    <col min="3329" max="3329" width="9.140625" style="1" customWidth="1"/>
    <col min="3330" max="3330" width="9.140625" style="1"/>
    <col min="3331" max="3331" width="8.7109375" style="1" customWidth="1"/>
    <col min="3332" max="3332" width="7.42578125" style="1" customWidth="1"/>
    <col min="3333" max="3333" width="7.5703125" style="1" customWidth="1"/>
    <col min="3334" max="3334" width="9.140625" style="1" customWidth="1"/>
    <col min="3335" max="3335" width="9.140625" style="1"/>
    <col min="3336" max="3336" width="10" style="1" customWidth="1"/>
    <col min="3337" max="3337" width="7.85546875" style="1" customWidth="1"/>
    <col min="3338" max="3338" width="6.140625" style="1" customWidth="1"/>
    <col min="3339" max="3339" width="8.7109375" style="1" customWidth="1"/>
    <col min="3340" max="3579" width="9.140625" style="1"/>
    <col min="3580" max="3580" width="13.42578125" style="1" customWidth="1"/>
    <col min="3581" max="3581" width="9.140625" style="1"/>
    <col min="3582" max="3582" width="17" style="1" customWidth="1"/>
    <col min="3583" max="3583" width="7.5703125" style="1" customWidth="1"/>
    <col min="3584" max="3584" width="9.140625" style="1"/>
    <col min="3585" max="3585" width="9.140625" style="1" customWidth="1"/>
    <col min="3586" max="3586" width="9.140625" style="1"/>
    <col min="3587" max="3587" width="8.7109375" style="1" customWidth="1"/>
    <col min="3588" max="3588" width="7.42578125" style="1" customWidth="1"/>
    <col min="3589" max="3589" width="7.5703125" style="1" customWidth="1"/>
    <col min="3590" max="3590" width="9.140625" style="1" customWidth="1"/>
    <col min="3591" max="3591" width="9.140625" style="1"/>
    <col min="3592" max="3592" width="10" style="1" customWidth="1"/>
    <col min="3593" max="3593" width="7.85546875" style="1" customWidth="1"/>
    <col min="3594" max="3594" width="6.140625" style="1" customWidth="1"/>
    <col min="3595" max="3595" width="8.7109375" style="1" customWidth="1"/>
    <col min="3596" max="3835" width="9.140625" style="1"/>
    <col min="3836" max="3836" width="13.42578125" style="1" customWidth="1"/>
    <col min="3837" max="3837" width="9.140625" style="1"/>
    <col min="3838" max="3838" width="17" style="1" customWidth="1"/>
    <col min="3839" max="3839" width="7.5703125" style="1" customWidth="1"/>
    <col min="3840" max="3840" width="9.140625" style="1"/>
    <col min="3841" max="3841" width="9.140625" style="1" customWidth="1"/>
    <col min="3842" max="3842" width="9.140625" style="1"/>
    <col min="3843" max="3843" width="8.7109375" style="1" customWidth="1"/>
    <col min="3844" max="3844" width="7.42578125" style="1" customWidth="1"/>
    <col min="3845" max="3845" width="7.5703125" style="1" customWidth="1"/>
    <col min="3846" max="3846" width="9.140625" style="1" customWidth="1"/>
    <col min="3847" max="3847" width="9.140625" style="1"/>
    <col min="3848" max="3848" width="10" style="1" customWidth="1"/>
    <col min="3849" max="3849" width="7.85546875" style="1" customWidth="1"/>
    <col min="3850" max="3850" width="6.140625" style="1" customWidth="1"/>
    <col min="3851" max="3851" width="8.7109375" style="1" customWidth="1"/>
    <col min="3852" max="4091" width="9.140625" style="1"/>
    <col min="4092" max="4092" width="13.42578125" style="1" customWidth="1"/>
    <col min="4093" max="4093" width="9.140625" style="1"/>
    <col min="4094" max="4094" width="17" style="1" customWidth="1"/>
    <col min="4095" max="4095" width="7.5703125" style="1" customWidth="1"/>
    <col min="4096" max="4096" width="9.140625" style="1"/>
    <col min="4097" max="4097" width="9.140625" style="1" customWidth="1"/>
    <col min="4098" max="4098" width="9.140625" style="1"/>
    <col min="4099" max="4099" width="8.7109375" style="1" customWidth="1"/>
    <col min="4100" max="4100" width="7.42578125" style="1" customWidth="1"/>
    <col min="4101" max="4101" width="7.5703125" style="1" customWidth="1"/>
    <col min="4102" max="4102" width="9.140625" style="1" customWidth="1"/>
    <col min="4103" max="4103" width="9.140625" style="1"/>
    <col min="4104" max="4104" width="10" style="1" customWidth="1"/>
    <col min="4105" max="4105" width="7.85546875" style="1" customWidth="1"/>
    <col min="4106" max="4106" width="6.140625" style="1" customWidth="1"/>
    <col min="4107" max="4107" width="8.7109375" style="1" customWidth="1"/>
    <col min="4108" max="4347" width="9.140625" style="1"/>
    <col min="4348" max="4348" width="13.42578125" style="1" customWidth="1"/>
    <col min="4349" max="4349" width="9.140625" style="1"/>
    <col min="4350" max="4350" width="17" style="1" customWidth="1"/>
    <col min="4351" max="4351" width="7.5703125" style="1" customWidth="1"/>
    <col min="4352" max="4352" width="9.140625" style="1"/>
    <col min="4353" max="4353" width="9.140625" style="1" customWidth="1"/>
    <col min="4354" max="4354" width="9.140625" style="1"/>
    <col min="4355" max="4355" width="8.7109375" style="1" customWidth="1"/>
    <col min="4356" max="4356" width="7.42578125" style="1" customWidth="1"/>
    <col min="4357" max="4357" width="7.5703125" style="1" customWidth="1"/>
    <col min="4358" max="4358" width="9.140625" style="1" customWidth="1"/>
    <col min="4359" max="4359" width="9.140625" style="1"/>
    <col min="4360" max="4360" width="10" style="1" customWidth="1"/>
    <col min="4361" max="4361" width="7.85546875" style="1" customWidth="1"/>
    <col min="4362" max="4362" width="6.140625" style="1" customWidth="1"/>
    <col min="4363" max="4363" width="8.7109375" style="1" customWidth="1"/>
    <col min="4364" max="4603" width="9.140625" style="1"/>
    <col min="4604" max="4604" width="13.42578125" style="1" customWidth="1"/>
    <col min="4605" max="4605" width="9.140625" style="1"/>
    <col min="4606" max="4606" width="17" style="1" customWidth="1"/>
    <col min="4607" max="4607" width="7.5703125" style="1" customWidth="1"/>
    <col min="4608" max="4608" width="9.140625" style="1"/>
    <col min="4609" max="4609" width="9.140625" style="1" customWidth="1"/>
    <col min="4610" max="4610" width="9.140625" style="1"/>
    <col min="4611" max="4611" width="8.7109375" style="1" customWidth="1"/>
    <col min="4612" max="4612" width="7.42578125" style="1" customWidth="1"/>
    <col min="4613" max="4613" width="7.5703125" style="1" customWidth="1"/>
    <col min="4614" max="4614" width="9.140625" style="1" customWidth="1"/>
    <col min="4615" max="4615" width="9.140625" style="1"/>
    <col min="4616" max="4616" width="10" style="1" customWidth="1"/>
    <col min="4617" max="4617" width="7.85546875" style="1" customWidth="1"/>
    <col min="4618" max="4618" width="6.140625" style="1" customWidth="1"/>
    <col min="4619" max="4619" width="8.7109375" style="1" customWidth="1"/>
    <col min="4620" max="4859" width="9.140625" style="1"/>
    <col min="4860" max="4860" width="13.42578125" style="1" customWidth="1"/>
    <col min="4861" max="4861" width="9.140625" style="1"/>
    <col min="4862" max="4862" width="17" style="1" customWidth="1"/>
    <col min="4863" max="4863" width="7.5703125" style="1" customWidth="1"/>
    <col min="4864" max="4864" width="9.140625" style="1"/>
    <col min="4865" max="4865" width="9.140625" style="1" customWidth="1"/>
    <col min="4866" max="4866" width="9.140625" style="1"/>
    <col min="4867" max="4867" width="8.7109375" style="1" customWidth="1"/>
    <col min="4868" max="4868" width="7.42578125" style="1" customWidth="1"/>
    <col min="4869" max="4869" width="7.5703125" style="1" customWidth="1"/>
    <col min="4870" max="4870" width="9.140625" style="1" customWidth="1"/>
    <col min="4871" max="4871" width="9.140625" style="1"/>
    <col min="4872" max="4872" width="10" style="1" customWidth="1"/>
    <col min="4873" max="4873" width="7.85546875" style="1" customWidth="1"/>
    <col min="4874" max="4874" width="6.140625" style="1" customWidth="1"/>
    <col min="4875" max="4875" width="8.7109375" style="1" customWidth="1"/>
    <col min="4876" max="5115" width="9.140625" style="1"/>
    <col min="5116" max="5116" width="13.42578125" style="1" customWidth="1"/>
    <col min="5117" max="5117" width="9.140625" style="1"/>
    <col min="5118" max="5118" width="17" style="1" customWidth="1"/>
    <col min="5119" max="5119" width="7.5703125" style="1" customWidth="1"/>
    <col min="5120" max="5120" width="9.140625" style="1"/>
    <col min="5121" max="5121" width="9.140625" style="1" customWidth="1"/>
    <col min="5122" max="5122" width="9.140625" style="1"/>
    <col min="5123" max="5123" width="8.7109375" style="1" customWidth="1"/>
    <col min="5124" max="5124" width="7.42578125" style="1" customWidth="1"/>
    <col min="5125" max="5125" width="7.5703125" style="1" customWidth="1"/>
    <col min="5126" max="5126" width="9.140625" style="1" customWidth="1"/>
    <col min="5127" max="5127" width="9.140625" style="1"/>
    <col min="5128" max="5128" width="10" style="1" customWidth="1"/>
    <col min="5129" max="5129" width="7.85546875" style="1" customWidth="1"/>
    <col min="5130" max="5130" width="6.140625" style="1" customWidth="1"/>
    <col min="5131" max="5131" width="8.7109375" style="1" customWidth="1"/>
    <col min="5132" max="5371" width="9.140625" style="1"/>
    <col min="5372" max="5372" width="13.42578125" style="1" customWidth="1"/>
    <col min="5373" max="5373" width="9.140625" style="1"/>
    <col min="5374" max="5374" width="17" style="1" customWidth="1"/>
    <col min="5375" max="5375" width="7.5703125" style="1" customWidth="1"/>
    <col min="5376" max="5376" width="9.140625" style="1"/>
    <col min="5377" max="5377" width="9.140625" style="1" customWidth="1"/>
    <col min="5378" max="5378" width="9.140625" style="1"/>
    <col min="5379" max="5379" width="8.7109375" style="1" customWidth="1"/>
    <col min="5380" max="5380" width="7.42578125" style="1" customWidth="1"/>
    <col min="5381" max="5381" width="7.5703125" style="1" customWidth="1"/>
    <col min="5382" max="5382" width="9.140625" style="1" customWidth="1"/>
    <col min="5383" max="5383" width="9.140625" style="1"/>
    <col min="5384" max="5384" width="10" style="1" customWidth="1"/>
    <col min="5385" max="5385" width="7.85546875" style="1" customWidth="1"/>
    <col min="5386" max="5386" width="6.140625" style="1" customWidth="1"/>
    <col min="5387" max="5387" width="8.7109375" style="1" customWidth="1"/>
    <col min="5388" max="5627" width="9.140625" style="1"/>
    <col min="5628" max="5628" width="13.42578125" style="1" customWidth="1"/>
    <col min="5629" max="5629" width="9.140625" style="1"/>
    <col min="5630" max="5630" width="17" style="1" customWidth="1"/>
    <col min="5631" max="5631" width="7.5703125" style="1" customWidth="1"/>
    <col min="5632" max="5632" width="9.140625" style="1"/>
    <col min="5633" max="5633" width="9.140625" style="1" customWidth="1"/>
    <col min="5634" max="5634" width="9.140625" style="1"/>
    <col min="5635" max="5635" width="8.7109375" style="1" customWidth="1"/>
    <col min="5636" max="5636" width="7.42578125" style="1" customWidth="1"/>
    <col min="5637" max="5637" width="7.5703125" style="1" customWidth="1"/>
    <col min="5638" max="5638" width="9.140625" style="1" customWidth="1"/>
    <col min="5639" max="5639" width="9.140625" style="1"/>
    <col min="5640" max="5640" width="10" style="1" customWidth="1"/>
    <col min="5641" max="5641" width="7.85546875" style="1" customWidth="1"/>
    <col min="5642" max="5642" width="6.140625" style="1" customWidth="1"/>
    <col min="5643" max="5643" width="8.7109375" style="1" customWidth="1"/>
    <col min="5644" max="5883" width="9.140625" style="1"/>
    <col min="5884" max="5884" width="13.42578125" style="1" customWidth="1"/>
    <col min="5885" max="5885" width="9.140625" style="1"/>
    <col min="5886" max="5886" width="17" style="1" customWidth="1"/>
    <col min="5887" max="5887" width="7.5703125" style="1" customWidth="1"/>
    <col min="5888" max="5888" width="9.140625" style="1"/>
    <col min="5889" max="5889" width="9.140625" style="1" customWidth="1"/>
    <col min="5890" max="5890" width="9.140625" style="1"/>
    <col min="5891" max="5891" width="8.7109375" style="1" customWidth="1"/>
    <col min="5892" max="5892" width="7.42578125" style="1" customWidth="1"/>
    <col min="5893" max="5893" width="7.5703125" style="1" customWidth="1"/>
    <col min="5894" max="5894" width="9.140625" style="1" customWidth="1"/>
    <col min="5895" max="5895" width="9.140625" style="1"/>
    <col min="5896" max="5896" width="10" style="1" customWidth="1"/>
    <col min="5897" max="5897" width="7.85546875" style="1" customWidth="1"/>
    <col min="5898" max="5898" width="6.140625" style="1" customWidth="1"/>
    <col min="5899" max="5899" width="8.7109375" style="1" customWidth="1"/>
    <col min="5900" max="6139" width="9.140625" style="1"/>
    <col min="6140" max="6140" width="13.42578125" style="1" customWidth="1"/>
    <col min="6141" max="6141" width="9.140625" style="1"/>
    <col min="6142" max="6142" width="17" style="1" customWidth="1"/>
    <col min="6143" max="6143" width="7.5703125" style="1" customWidth="1"/>
    <col min="6144" max="6144" width="9.140625" style="1"/>
    <col min="6145" max="6145" width="9.140625" style="1" customWidth="1"/>
    <col min="6146" max="6146" width="9.140625" style="1"/>
    <col min="6147" max="6147" width="8.7109375" style="1" customWidth="1"/>
    <col min="6148" max="6148" width="7.42578125" style="1" customWidth="1"/>
    <col min="6149" max="6149" width="7.5703125" style="1" customWidth="1"/>
    <col min="6150" max="6150" width="9.140625" style="1" customWidth="1"/>
    <col min="6151" max="6151" width="9.140625" style="1"/>
    <col min="6152" max="6152" width="10" style="1" customWidth="1"/>
    <col min="6153" max="6153" width="7.85546875" style="1" customWidth="1"/>
    <col min="6154" max="6154" width="6.140625" style="1" customWidth="1"/>
    <col min="6155" max="6155" width="8.7109375" style="1" customWidth="1"/>
    <col min="6156" max="6395" width="9.140625" style="1"/>
    <col min="6396" max="6396" width="13.42578125" style="1" customWidth="1"/>
    <col min="6397" max="6397" width="9.140625" style="1"/>
    <col min="6398" max="6398" width="17" style="1" customWidth="1"/>
    <col min="6399" max="6399" width="7.5703125" style="1" customWidth="1"/>
    <col min="6400" max="6400" width="9.140625" style="1"/>
    <col min="6401" max="6401" width="9.140625" style="1" customWidth="1"/>
    <col min="6402" max="6402" width="9.140625" style="1"/>
    <col min="6403" max="6403" width="8.7109375" style="1" customWidth="1"/>
    <col min="6404" max="6404" width="7.42578125" style="1" customWidth="1"/>
    <col min="6405" max="6405" width="7.5703125" style="1" customWidth="1"/>
    <col min="6406" max="6406" width="9.140625" style="1" customWidth="1"/>
    <col min="6407" max="6407" width="9.140625" style="1"/>
    <col min="6408" max="6408" width="10" style="1" customWidth="1"/>
    <col min="6409" max="6409" width="7.85546875" style="1" customWidth="1"/>
    <col min="6410" max="6410" width="6.140625" style="1" customWidth="1"/>
    <col min="6411" max="6411" width="8.7109375" style="1" customWidth="1"/>
    <col min="6412" max="6651" width="9.140625" style="1"/>
    <col min="6652" max="6652" width="13.42578125" style="1" customWidth="1"/>
    <col min="6653" max="6653" width="9.140625" style="1"/>
    <col min="6654" max="6654" width="17" style="1" customWidth="1"/>
    <col min="6655" max="6655" width="7.5703125" style="1" customWidth="1"/>
    <col min="6656" max="6656" width="9.140625" style="1"/>
    <col min="6657" max="6657" width="9.140625" style="1" customWidth="1"/>
    <col min="6658" max="6658" width="9.140625" style="1"/>
    <col min="6659" max="6659" width="8.7109375" style="1" customWidth="1"/>
    <col min="6660" max="6660" width="7.42578125" style="1" customWidth="1"/>
    <col min="6661" max="6661" width="7.5703125" style="1" customWidth="1"/>
    <col min="6662" max="6662" width="9.140625" style="1" customWidth="1"/>
    <col min="6663" max="6663" width="9.140625" style="1"/>
    <col min="6664" max="6664" width="10" style="1" customWidth="1"/>
    <col min="6665" max="6665" width="7.85546875" style="1" customWidth="1"/>
    <col min="6666" max="6666" width="6.140625" style="1" customWidth="1"/>
    <col min="6667" max="6667" width="8.7109375" style="1" customWidth="1"/>
    <col min="6668" max="6907" width="9.140625" style="1"/>
    <col min="6908" max="6908" width="13.42578125" style="1" customWidth="1"/>
    <col min="6909" max="6909" width="9.140625" style="1"/>
    <col min="6910" max="6910" width="17" style="1" customWidth="1"/>
    <col min="6911" max="6911" width="7.5703125" style="1" customWidth="1"/>
    <col min="6912" max="6912" width="9.140625" style="1"/>
    <col min="6913" max="6913" width="9.140625" style="1" customWidth="1"/>
    <col min="6914" max="6914" width="9.140625" style="1"/>
    <col min="6915" max="6915" width="8.7109375" style="1" customWidth="1"/>
    <col min="6916" max="6916" width="7.42578125" style="1" customWidth="1"/>
    <col min="6917" max="6917" width="7.5703125" style="1" customWidth="1"/>
    <col min="6918" max="6918" width="9.140625" style="1" customWidth="1"/>
    <col min="6919" max="6919" width="9.140625" style="1"/>
    <col min="6920" max="6920" width="10" style="1" customWidth="1"/>
    <col min="6921" max="6921" width="7.85546875" style="1" customWidth="1"/>
    <col min="6922" max="6922" width="6.140625" style="1" customWidth="1"/>
    <col min="6923" max="6923" width="8.7109375" style="1" customWidth="1"/>
    <col min="6924" max="7163" width="9.140625" style="1"/>
    <col min="7164" max="7164" width="13.42578125" style="1" customWidth="1"/>
    <col min="7165" max="7165" width="9.140625" style="1"/>
    <col min="7166" max="7166" width="17" style="1" customWidth="1"/>
    <col min="7167" max="7167" width="7.5703125" style="1" customWidth="1"/>
    <col min="7168" max="7168" width="9.140625" style="1"/>
    <col min="7169" max="7169" width="9.140625" style="1" customWidth="1"/>
    <col min="7170" max="7170" width="9.140625" style="1"/>
    <col min="7171" max="7171" width="8.7109375" style="1" customWidth="1"/>
    <col min="7172" max="7172" width="7.42578125" style="1" customWidth="1"/>
    <col min="7173" max="7173" width="7.5703125" style="1" customWidth="1"/>
    <col min="7174" max="7174" width="9.140625" style="1" customWidth="1"/>
    <col min="7175" max="7175" width="9.140625" style="1"/>
    <col min="7176" max="7176" width="10" style="1" customWidth="1"/>
    <col min="7177" max="7177" width="7.85546875" style="1" customWidth="1"/>
    <col min="7178" max="7178" width="6.140625" style="1" customWidth="1"/>
    <col min="7179" max="7179" width="8.7109375" style="1" customWidth="1"/>
    <col min="7180" max="7419" width="9.140625" style="1"/>
    <col min="7420" max="7420" width="13.42578125" style="1" customWidth="1"/>
    <col min="7421" max="7421" width="9.140625" style="1"/>
    <col min="7422" max="7422" width="17" style="1" customWidth="1"/>
    <col min="7423" max="7423" width="7.5703125" style="1" customWidth="1"/>
    <col min="7424" max="7424" width="9.140625" style="1"/>
    <col min="7425" max="7425" width="9.140625" style="1" customWidth="1"/>
    <col min="7426" max="7426" width="9.140625" style="1"/>
    <col min="7427" max="7427" width="8.7109375" style="1" customWidth="1"/>
    <col min="7428" max="7428" width="7.42578125" style="1" customWidth="1"/>
    <col min="7429" max="7429" width="7.5703125" style="1" customWidth="1"/>
    <col min="7430" max="7430" width="9.140625" style="1" customWidth="1"/>
    <col min="7431" max="7431" width="9.140625" style="1"/>
    <col min="7432" max="7432" width="10" style="1" customWidth="1"/>
    <col min="7433" max="7433" width="7.85546875" style="1" customWidth="1"/>
    <col min="7434" max="7434" width="6.140625" style="1" customWidth="1"/>
    <col min="7435" max="7435" width="8.7109375" style="1" customWidth="1"/>
    <col min="7436" max="7675" width="9.140625" style="1"/>
    <col min="7676" max="7676" width="13.42578125" style="1" customWidth="1"/>
    <col min="7677" max="7677" width="9.140625" style="1"/>
    <col min="7678" max="7678" width="17" style="1" customWidth="1"/>
    <col min="7679" max="7679" width="7.5703125" style="1" customWidth="1"/>
    <col min="7680" max="7680" width="9.140625" style="1"/>
    <col min="7681" max="7681" width="9.140625" style="1" customWidth="1"/>
    <col min="7682" max="7682" width="9.140625" style="1"/>
    <col min="7683" max="7683" width="8.7109375" style="1" customWidth="1"/>
    <col min="7684" max="7684" width="7.42578125" style="1" customWidth="1"/>
    <col min="7685" max="7685" width="7.5703125" style="1" customWidth="1"/>
    <col min="7686" max="7686" width="9.140625" style="1" customWidth="1"/>
    <col min="7687" max="7687" width="9.140625" style="1"/>
    <col min="7688" max="7688" width="10" style="1" customWidth="1"/>
    <col min="7689" max="7689" width="7.85546875" style="1" customWidth="1"/>
    <col min="7690" max="7690" width="6.140625" style="1" customWidth="1"/>
    <col min="7691" max="7691" width="8.7109375" style="1" customWidth="1"/>
    <col min="7692" max="7931" width="9.140625" style="1"/>
    <col min="7932" max="7932" width="13.42578125" style="1" customWidth="1"/>
    <col min="7933" max="7933" width="9.140625" style="1"/>
    <col min="7934" max="7934" width="17" style="1" customWidth="1"/>
    <col min="7935" max="7935" width="7.5703125" style="1" customWidth="1"/>
    <col min="7936" max="7936" width="9.140625" style="1"/>
    <col min="7937" max="7937" width="9.140625" style="1" customWidth="1"/>
    <col min="7938" max="7938" width="9.140625" style="1"/>
    <col min="7939" max="7939" width="8.7109375" style="1" customWidth="1"/>
    <col min="7940" max="7940" width="7.42578125" style="1" customWidth="1"/>
    <col min="7941" max="7941" width="7.5703125" style="1" customWidth="1"/>
    <col min="7942" max="7942" width="9.140625" style="1" customWidth="1"/>
    <col min="7943" max="7943" width="9.140625" style="1"/>
    <col min="7944" max="7944" width="10" style="1" customWidth="1"/>
    <col min="7945" max="7945" width="7.85546875" style="1" customWidth="1"/>
    <col min="7946" max="7946" width="6.140625" style="1" customWidth="1"/>
    <col min="7947" max="7947" width="8.7109375" style="1" customWidth="1"/>
    <col min="7948" max="8187" width="9.140625" style="1"/>
    <col min="8188" max="8188" width="13.42578125" style="1" customWidth="1"/>
    <col min="8189" max="8189" width="9.140625" style="1"/>
    <col min="8190" max="8190" width="17" style="1" customWidth="1"/>
    <col min="8191" max="8191" width="7.5703125" style="1" customWidth="1"/>
    <col min="8192" max="8192" width="9.140625" style="1"/>
    <col min="8193" max="8193" width="9.140625" style="1" customWidth="1"/>
    <col min="8194" max="8194" width="9.140625" style="1"/>
    <col min="8195" max="8195" width="8.7109375" style="1" customWidth="1"/>
    <col min="8196" max="8196" width="7.42578125" style="1" customWidth="1"/>
    <col min="8197" max="8197" width="7.5703125" style="1" customWidth="1"/>
    <col min="8198" max="8198" width="9.140625" style="1" customWidth="1"/>
    <col min="8199" max="8199" width="9.140625" style="1"/>
    <col min="8200" max="8200" width="10" style="1" customWidth="1"/>
    <col min="8201" max="8201" width="7.85546875" style="1" customWidth="1"/>
    <col min="8202" max="8202" width="6.140625" style="1" customWidth="1"/>
    <col min="8203" max="8203" width="8.7109375" style="1" customWidth="1"/>
    <col min="8204" max="8443" width="9.140625" style="1"/>
    <col min="8444" max="8444" width="13.42578125" style="1" customWidth="1"/>
    <col min="8445" max="8445" width="9.140625" style="1"/>
    <col min="8446" max="8446" width="17" style="1" customWidth="1"/>
    <col min="8447" max="8447" width="7.5703125" style="1" customWidth="1"/>
    <col min="8448" max="8448" width="9.140625" style="1"/>
    <col min="8449" max="8449" width="9.140625" style="1" customWidth="1"/>
    <col min="8450" max="8450" width="9.140625" style="1"/>
    <col min="8451" max="8451" width="8.7109375" style="1" customWidth="1"/>
    <col min="8452" max="8452" width="7.42578125" style="1" customWidth="1"/>
    <col min="8453" max="8453" width="7.5703125" style="1" customWidth="1"/>
    <col min="8454" max="8454" width="9.140625" style="1" customWidth="1"/>
    <col min="8455" max="8455" width="9.140625" style="1"/>
    <col min="8456" max="8456" width="10" style="1" customWidth="1"/>
    <col min="8457" max="8457" width="7.85546875" style="1" customWidth="1"/>
    <col min="8458" max="8458" width="6.140625" style="1" customWidth="1"/>
    <col min="8459" max="8459" width="8.7109375" style="1" customWidth="1"/>
    <col min="8460" max="8699" width="9.140625" style="1"/>
    <col min="8700" max="8700" width="13.42578125" style="1" customWidth="1"/>
    <col min="8701" max="8701" width="9.140625" style="1"/>
    <col min="8702" max="8702" width="17" style="1" customWidth="1"/>
    <col min="8703" max="8703" width="7.5703125" style="1" customWidth="1"/>
    <col min="8704" max="8704" width="9.140625" style="1"/>
    <col min="8705" max="8705" width="9.140625" style="1" customWidth="1"/>
    <col min="8706" max="8706" width="9.140625" style="1"/>
    <col min="8707" max="8707" width="8.7109375" style="1" customWidth="1"/>
    <col min="8708" max="8708" width="7.42578125" style="1" customWidth="1"/>
    <col min="8709" max="8709" width="7.5703125" style="1" customWidth="1"/>
    <col min="8710" max="8710" width="9.140625" style="1" customWidth="1"/>
    <col min="8711" max="8711" width="9.140625" style="1"/>
    <col min="8712" max="8712" width="10" style="1" customWidth="1"/>
    <col min="8713" max="8713" width="7.85546875" style="1" customWidth="1"/>
    <col min="8714" max="8714" width="6.140625" style="1" customWidth="1"/>
    <col min="8715" max="8715" width="8.7109375" style="1" customWidth="1"/>
    <col min="8716" max="8955" width="9.140625" style="1"/>
    <col min="8956" max="8956" width="13.42578125" style="1" customWidth="1"/>
    <col min="8957" max="8957" width="9.140625" style="1"/>
    <col min="8958" max="8958" width="17" style="1" customWidth="1"/>
    <col min="8959" max="8959" width="7.5703125" style="1" customWidth="1"/>
    <col min="8960" max="8960" width="9.140625" style="1"/>
    <col min="8961" max="8961" width="9.140625" style="1" customWidth="1"/>
    <col min="8962" max="8962" width="9.140625" style="1"/>
    <col min="8963" max="8963" width="8.7109375" style="1" customWidth="1"/>
    <col min="8964" max="8964" width="7.42578125" style="1" customWidth="1"/>
    <col min="8965" max="8965" width="7.5703125" style="1" customWidth="1"/>
    <col min="8966" max="8966" width="9.140625" style="1" customWidth="1"/>
    <col min="8967" max="8967" width="9.140625" style="1"/>
    <col min="8968" max="8968" width="10" style="1" customWidth="1"/>
    <col min="8969" max="8969" width="7.85546875" style="1" customWidth="1"/>
    <col min="8970" max="8970" width="6.140625" style="1" customWidth="1"/>
    <col min="8971" max="8971" width="8.7109375" style="1" customWidth="1"/>
    <col min="8972" max="9211" width="9.140625" style="1"/>
    <col min="9212" max="9212" width="13.42578125" style="1" customWidth="1"/>
    <col min="9213" max="9213" width="9.140625" style="1"/>
    <col min="9214" max="9214" width="17" style="1" customWidth="1"/>
    <col min="9215" max="9215" width="7.5703125" style="1" customWidth="1"/>
    <col min="9216" max="9216" width="9.140625" style="1"/>
    <col min="9217" max="9217" width="9.140625" style="1" customWidth="1"/>
    <col min="9218" max="9218" width="9.140625" style="1"/>
    <col min="9219" max="9219" width="8.7109375" style="1" customWidth="1"/>
    <col min="9220" max="9220" width="7.42578125" style="1" customWidth="1"/>
    <col min="9221" max="9221" width="7.5703125" style="1" customWidth="1"/>
    <col min="9222" max="9222" width="9.140625" style="1" customWidth="1"/>
    <col min="9223" max="9223" width="9.140625" style="1"/>
    <col min="9224" max="9224" width="10" style="1" customWidth="1"/>
    <col min="9225" max="9225" width="7.85546875" style="1" customWidth="1"/>
    <col min="9226" max="9226" width="6.140625" style="1" customWidth="1"/>
    <col min="9227" max="9227" width="8.7109375" style="1" customWidth="1"/>
    <col min="9228" max="9467" width="9.140625" style="1"/>
    <col min="9468" max="9468" width="13.42578125" style="1" customWidth="1"/>
    <col min="9469" max="9469" width="9.140625" style="1"/>
    <col min="9470" max="9470" width="17" style="1" customWidth="1"/>
    <col min="9471" max="9471" width="7.5703125" style="1" customWidth="1"/>
    <col min="9472" max="9472" width="9.140625" style="1"/>
    <col min="9473" max="9473" width="9.140625" style="1" customWidth="1"/>
    <col min="9474" max="9474" width="9.140625" style="1"/>
    <col min="9475" max="9475" width="8.7109375" style="1" customWidth="1"/>
    <col min="9476" max="9476" width="7.42578125" style="1" customWidth="1"/>
    <col min="9477" max="9477" width="7.5703125" style="1" customWidth="1"/>
    <col min="9478" max="9478" width="9.140625" style="1" customWidth="1"/>
    <col min="9479" max="9479" width="9.140625" style="1"/>
    <col min="9480" max="9480" width="10" style="1" customWidth="1"/>
    <col min="9481" max="9481" width="7.85546875" style="1" customWidth="1"/>
    <col min="9482" max="9482" width="6.140625" style="1" customWidth="1"/>
    <col min="9483" max="9483" width="8.7109375" style="1" customWidth="1"/>
    <col min="9484" max="9723" width="9.140625" style="1"/>
    <col min="9724" max="9724" width="13.42578125" style="1" customWidth="1"/>
    <col min="9725" max="9725" width="9.140625" style="1"/>
    <col min="9726" max="9726" width="17" style="1" customWidth="1"/>
    <col min="9727" max="9727" width="7.5703125" style="1" customWidth="1"/>
    <col min="9728" max="9728" width="9.140625" style="1"/>
    <col min="9729" max="9729" width="9.140625" style="1" customWidth="1"/>
    <col min="9730" max="9730" width="9.140625" style="1"/>
    <col min="9731" max="9731" width="8.7109375" style="1" customWidth="1"/>
    <col min="9732" max="9732" width="7.42578125" style="1" customWidth="1"/>
    <col min="9733" max="9733" width="7.5703125" style="1" customWidth="1"/>
    <col min="9734" max="9734" width="9.140625" style="1" customWidth="1"/>
    <col min="9735" max="9735" width="9.140625" style="1"/>
    <col min="9736" max="9736" width="10" style="1" customWidth="1"/>
    <col min="9737" max="9737" width="7.85546875" style="1" customWidth="1"/>
    <col min="9738" max="9738" width="6.140625" style="1" customWidth="1"/>
    <col min="9739" max="9739" width="8.7109375" style="1" customWidth="1"/>
    <col min="9740" max="9979" width="9.140625" style="1"/>
    <col min="9980" max="9980" width="13.42578125" style="1" customWidth="1"/>
    <col min="9981" max="9981" width="9.140625" style="1"/>
    <col min="9982" max="9982" width="17" style="1" customWidth="1"/>
    <col min="9983" max="9983" width="7.5703125" style="1" customWidth="1"/>
    <col min="9984" max="9984" width="9.140625" style="1"/>
    <col min="9985" max="9985" width="9.140625" style="1" customWidth="1"/>
    <col min="9986" max="9986" width="9.140625" style="1"/>
    <col min="9987" max="9987" width="8.7109375" style="1" customWidth="1"/>
    <col min="9988" max="9988" width="7.42578125" style="1" customWidth="1"/>
    <col min="9989" max="9989" width="7.5703125" style="1" customWidth="1"/>
    <col min="9990" max="9990" width="9.140625" style="1" customWidth="1"/>
    <col min="9991" max="9991" width="9.140625" style="1"/>
    <col min="9992" max="9992" width="10" style="1" customWidth="1"/>
    <col min="9993" max="9993" width="7.85546875" style="1" customWidth="1"/>
    <col min="9994" max="9994" width="6.140625" style="1" customWidth="1"/>
    <col min="9995" max="9995" width="8.7109375" style="1" customWidth="1"/>
    <col min="9996" max="10235" width="9.140625" style="1"/>
    <col min="10236" max="10236" width="13.42578125" style="1" customWidth="1"/>
    <col min="10237" max="10237" width="9.140625" style="1"/>
    <col min="10238" max="10238" width="17" style="1" customWidth="1"/>
    <col min="10239" max="10239" width="7.5703125" style="1" customWidth="1"/>
    <col min="10240" max="10240" width="9.140625" style="1"/>
    <col min="10241" max="10241" width="9.140625" style="1" customWidth="1"/>
    <col min="10242" max="10242" width="9.140625" style="1"/>
    <col min="10243" max="10243" width="8.7109375" style="1" customWidth="1"/>
    <col min="10244" max="10244" width="7.42578125" style="1" customWidth="1"/>
    <col min="10245" max="10245" width="7.5703125" style="1" customWidth="1"/>
    <col min="10246" max="10246" width="9.140625" style="1" customWidth="1"/>
    <col min="10247" max="10247" width="9.140625" style="1"/>
    <col min="10248" max="10248" width="10" style="1" customWidth="1"/>
    <col min="10249" max="10249" width="7.85546875" style="1" customWidth="1"/>
    <col min="10250" max="10250" width="6.140625" style="1" customWidth="1"/>
    <col min="10251" max="10251" width="8.7109375" style="1" customWidth="1"/>
    <col min="10252" max="10491" width="9.140625" style="1"/>
    <col min="10492" max="10492" width="13.42578125" style="1" customWidth="1"/>
    <col min="10493" max="10493" width="9.140625" style="1"/>
    <col min="10494" max="10494" width="17" style="1" customWidth="1"/>
    <col min="10495" max="10495" width="7.5703125" style="1" customWidth="1"/>
    <col min="10496" max="10496" width="9.140625" style="1"/>
    <col min="10497" max="10497" width="9.140625" style="1" customWidth="1"/>
    <col min="10498" max="10498" width="9.140625" style="1"/>
    <col min="10499" max="10499" width="8.7109375" style="1" customWidth="1"/>
    <col min="10500" max="10500" width="7.42578125" style="1" customWidth="1"/>
    <col min="10501" max="10501" width="7.5703125" style="1" customWidth="1"/>
    <col min="10502" max="10502" width="9.140625" style="1" customWidth="1"/>
    <col min="10503" max="10503" width="9.140625" style="1"/>
    <col min="10504" max="10504" width="10" style="1" customWidth="1"/>
    <col min="10505" max="10505" width="7.85546875" style="1" customWidth="1"/>
    <col min="10506" max="10506" width="6.140625" style="1" customWidth="1"/>
    <col min="10507" max="10507" width="8.7109375" style="1" customWidth="1"/>
    <col min="10508" max="10747" width="9.140625" style="1"/>
    <col min="10748" max="10748" width="13.42578125" style="1" customWidth="1"/>
    <col min="10749" max="10749" width="9.140625" style="1"/>
    <col min="10750" max="10750" width="17" style="1" customWidth="1"/>
    <col min="10751" max="10751" width="7.5703125" style="1" customWidth="1"/>
    <col min="10752" max="10752" width="9.140625" style="1"/>
    <col min="10753" max="10753" width="9.140625" style="1" customWidth="1"/>
    <col min="10754" max="10754" width="9.140625" style="1"/>
    <col min="10755" max="10755" width="8.7109375" style="1" customWidth="1"/>
    <col min="10756" max="10756" width="7.42578125" style="1" customWidth="1"/>
    <col min="10757" max="10757" width="7.5703125" style="1" customWidth="1"/>
    <col min="10758" max="10758" width="9.140625" style="1" customWidth="1"/>
    <col min="10759" max="10759" width="9.140625" style="1"/>
    <col min="10760" max="10760" width="10" style="1" customWidth="1"/>
    <col min="10761" max="10761" width="7.85546875" style="1" customWidth="1"/>
    <col min="10762" max="10762" width="6.140625" style="1" customWidth="1"/>
    <col min="10763" max="10763" width="8.7109375" style="1" customWidth="1"/>
    <col min="10764" max="11003" width="9.140625" style="1"/>
    <col min="11004" max="11004" width="13.42578125" style="1" customWidth="1"/>
    <col min="11005" max="11005" width="9.140625" style="1"/>
    <col min="11006" max="11006" width="17" style="1" customWidth="1"/>
    <col min="11007" max="11007" width="7.5703125" style="1" customWidth="1"/>
    <col min="11008" max="11008" width="9.140625" style="1"/>
    <col min="11009" max="11009" width="9.140625" style="1" customWidth="1"/>
    <col min="11010" max="11010" width="9.140625" style="1"/>
    <col min="11011" max="11011" width="8.7109375" style="1" customWidth="1"/>
    <col min="11012" max="11012" width="7.42578125" style="1" customWidth="1"/>
    <col min="11013" max="11013" width="7.5703125" style="1" customWidth="1"/>
    <col min="11014" max="11014" width="9.140625" style="1" customWidth="1"/>
    <col min="11015" max="11015" width="9.140625" style="1"/>
    <col min="11016" max="11016" width="10" style="1" customWidth="1"/>
    <col min="11017" max="11017" width="7.85546875" style="1" customWidth="1"/>
    <col min="11018" max="11018" width="6.140625" style="1" customWidth="1"/>
    <col min="11019" max="11019" width="8.7109375" style="1" customWidth="1"/>
    <col min="11020" max="11259" width="9.140625" style="1"/>
    <col min="11260" max="11260" width="13.42578125" style="1" customWidth="1"/>
    <col min="11261" max="11261" width="9.140625" style="1"/>
    <col min="11262" max="11262" width="17" style="1" customWidth="1"/>
    <col min="11263" max="11263" width="7.5703125" style="1" customWidth="1"/>
    <col min="11264" max="11264" width="9.140625" style="1"/>
    <col min="11265" max="11265" width="9.140625" style="1" customWidth="1"/>
    <col min="11266" max="11266" width="9.140625" style="1"/>
    <col min="11267" max="11267" width="8.7109375" style="1" customWidth="1"/>
    <col min="11268" max="11268" width="7.42578125" style="1" customWidth="1"/>
    <col min="11269" max="11269" width="7.5703125" style="1" customWidth="1"/>
    <col min="11270" max="11270" width="9.140625" style="1" customWidth="1"/>
    <col min="11271" max="11271" width="9.140625" style="1"/>
    <col min="11272" max="11272" width="10" style="1" customWidth="1"/>
    <col min="11273" max="11273" width="7.85546875" style="1" customWidth="1"/>
    <col min="11274" max="11274" width="6.140625" style="1" customWidth="1"/>
    <col min="11275" max="11275" width="8.7109375" style="1" customWidth="1"/>
    <col min="11276" max="11515" width="9.140625" style="1"/>
    <col min="11516" max="11516" width="13.42578125" style="1" customWidth="1"/>
    <col min="11517" max="11517" width="9.140625" style="1"/>
    <col min="11518" max="11518" width="17" style="1" customWidth="1"/>
    <col min="11519" max="11519" width="7.5703125" style="1" customWidth="1"/>
    <col min="11520" max="11520" width="9.140625" style="1"/>
    <col min="11521" max="11521" width="9.140625" style="1" customWidth="1"/>
    <col min="11522" max="11522" width="9.140625" style="1"/>
    <col min="11523" max="11523" width="8.7109375" style="1" customWidth="1"/>
    <col min="11524" max="11524" width="7.42578125" style="1" customWidth="1"/>
    <col min="11525" max="11525" width="7.5703125" style="1" customWidth="1"/>
    <col min="11526" max="11526" width="9.140625" style="1" customWidth="1"/>
    <col min="11527" max="11527" width="9.140625" style="1"/>
    <col min="11528" max="11528" width="10" style="1" customWidth="1"/>
    <col min="11529" max="11529" width="7.85546875" style="1" customWidth="1"/>
    <col min="11530" max="11530" width="6.140625" style="1" customWidth="1"/>
    <col min="11531" max="11531" width="8.7109375" style="1" customWidth="1"/>
    <col min="11532" max="11771" width="9.140625" style="1"/>
    <col min="11772" max="11772" width="13.42578125" style="1" customWidth="1"/>
    <col min="11773" max="11773" width="9.140625" style="1"/>
    <col min="11774" max="11774" width="17" style="1" customWidth="1"/>
    <col min="11775" max="11775" width="7.5703125" style="1" customWidth="1"/>
    <col min="11776" max="11776" width="9.140625" style="1"/>
    <col min="11777" max="11777" width="9.140625" style="1" customWidth="1"/>
    <col min="11778" max="11778" width="9.140625" style="1"/>
    <col min="11779" max="11779" width="8.7109375" style="1" customWidth="1"/>
    <col min="11780" max="11780" width="7.42578125" style="1" customWidth="1"/>
    <col min="11781" max="11781" width="7.5703125" style="1" customWidth="1"/>
    <col min="11782" max="11782" width="9.140625" style="1" customWidth="1"/>
    <col min="11783" max="11783" width="9.140625" style="1"/>
    <col min="11784" max="11784" width="10" style="1" customWidth="1"/>
    <col min="11785" max="11785" width="7.85546875" style="1" customWidth="1"/>
    <col min="11786" max="11786" width="6.140625" style="1" customWidth="1"/>
    <col min="11787" max="11787" width="8.7109375" style="1" customWidth="1"/>
    <col min="11788" max="12027" width="9.140625" style="1"/>
    <col min="12028" max="12028" width="13.42578125" style="1" customWidth="1"/>
    <col min="12029" max="12029" width="9.140625" style="1"/>
    <col min="12030" max="12030" width="17" style="1" customWidth="1"/>
    <col min="12031" max="12031" width="7.5703125" style="1" customWidth="1"/>
    <col min="12032" max="12032" width="9.140625" style="1"/>
    <col min="12033" max="12033" width="9.140625" style="1" customWidth="1"/>
    <col min="12034" max="12034" width="9.140625" style="1"/>
    <col min="12035" max="12035" width="8.7109375" style="1" customWidth="1"/>
    <col min="12036" max="12036" width="7.42578125" style="1" customWidth="1"/>
    <col min="12037" max="12037" width="7.5703125" style="1" customWidth="1"/>
    <col min="12038" max="12038" width="9.140625" style="1" customWidth="1"/>
    <col min="12039" max="12039" width="9.140625" style="1"/>
    <col min="12040" max="12040" width="10" style="1" customWidth="1"/>
    <col min="12041" max="12041" width="7.85546875" style="1" customWidth="1"/>
    <col min="12042" max="12042" width="6.140625" style="1" customWidth="1"/>
    <col min="12043" max="12043" width="8.7109375" style="1" customWidth="1"/>
    <col min="12044" max="12283" width="9.140625" style="1"/>
    <col min="12284" max="12284" width="13.42578125" style="1" customWidth="1"/>
    <col min="12285" max="12285" width="9.140625" style="1"/>
    <col min="12286" max="12286" width="17" style="1" customWidth="1"/>
    <col min="12287" max="12287" width="7.5703125" style="1" customWidth="1"/>
    <col min="12288" max="12288" width="9.140625" style="1"/>
    <col min="12289" max="12289" width="9.140625" style="1" customWidth="1"/>
    <col min="12290" max="12290" width="9.140625" style="1"/>
    <col min="12291" max="12291" width="8.7109375" style="1" customWidth="1"/>
    <col min="12292" max="12292" width="7.42578125" style="1" customWidth="1"/>
    <col min="12293" max="12293" width="7.5703125" style="1" customWidth="1"/>
    <col min="12294" max="12294" width="9.140625" style="1" customWidth="1"/>
    <col min="12295" max="12295" width="9.140625" style="1"/>
    <col min="12296" max="12296" width="10" style="1" customWidth="1"/>
    <col min="12297" max="12297" width="7.85546875" style="1" customWidth="1"/>
    <col min="12298" max="12298" width="6.140625" style="1" customWidth="1"/>
    <col min="12299" max="12299" width="8.7109375" style="1" customWidth="1"/>
    <col min="12300" max="12539" width="9.140625" style="1"/>
    <col min="12540" max="12540" width="13.42578125" style="1" customWidth="1"/>
    <col min="12541" max="12541" width="9.140625" style="1"/>
    <col min="12542" max="12542" width="17" style="1" customWidth="1"/>
    <col min="12543" max="12543" width="7.5703125" style="1" customWidth="1"/>
    <col min="12544" max="12544" width="9.140625" style="1"/>
    <col min="12545" max="12545" width="9.140625" style="1" customWidth="1"/>
    <col min="12546" max="12546" width="9.140625" style="1"/>
    <col min="12547" max="12547" width="8.7109375" style="1" customWidth="1"/>
    <col min="12548" max="12548" width="7.42578125" style="1" customWidth="1"/>
    <col min="12549" max="12549" width="7.5703125" style="1" customWidth="1"/>
    <col min="12550" max="12550" width="9.140625" style="1" customWidth="1"/>
    <col min="12551" max="12551" width="9.140625" style="1"/>
    <col min="12552" max="12552" width="10" style="1" customWidth="1"/>
    <col min="12553" max="12553" width="7.85546875" style="1" customWidth="1"/>
    <col min="12554" max="12554" width="6.140625" style="1" customWidth="1"/>
    <col min="12555" max="12555" width="8.7109375" style="1" customWidth="1"/>
    <col min="12556" max="12795" width="9.140625" style="1"/>
    <col min="12796" max="12796" width="13.42578125" style="1" customWidth="1"/>
    <col min="12797" max="12797" width="9.140625" style="1"/>
    <col min="12798" max="12798" width="17" style="1" customWidth="1"/>
    <col min="12799" max="12799" width="7.5703125" style="1" customWidth="1"/>
    <col min="12800" max="12800" width="9.140625" style="1"/>
    <col min="12801" max="12801" width="9.140625" style="1" customWidth="1"/>
    <col min="12802" max="12802" width="9.140625" style="1"/>
    <col min="12803" max="12803" width="8.7109375" style="1" customWidth="1"/>
    <col min="12804" max="12804" width="7.42578125" style="1" customWidth="1"/>
    <col min="12805" max="12805" width="7.5703125" style="1" customWidth="1"/>
    <col min="12806" max="12806" width="9.140625" style="1" customWidth="1"/>
    <col min="12807" max="12807" width="9.140625" style="1"/>
    <col min="12808" max="12808" width="10" style="1" customWidth="1"/>
    <col min="12809" max="12809" width="7.85546875" style="1" customWidth="1"/>
    <col min="12810" max="12810" width="6.140625" style="1" customWidth="1"/>
    <col min="12811" max="12811" width="8.7109375" style="1" customWidth="1"/>
    <col min="12812" max="13051" width="9.140625" style="1"/>
    <col min="13052" max="13052" width="13.42578125" style="1" customWidth="1"/>
    <col min="13053" max="13053" width="9.140625" style="1"/>
    <col min="13054" max="13054" width="17" style="1" customWidth="1"/>
    <col min="13055" max="13055" width="7.5703125" style="1" customWidth="1"/>
    <col min="13056" max="13056" width="9.140625" style="1"/>
    <col min="13057" max="13057" width="9.140625" style="1" customWidth="1"/>
    <col min="13058" max="13058" width="9.140625" style="1"/>
    <col min="13059" max="13059" width="8.7109375" style="1" customWidth="1"/>
    <col min="13060" max="13060" width="7.42578125" style="1" customWidth="1"/>
    <col min="13061" max="13061" width="7.5703125" style="1" customWidth="1"/>
    <col min="13062" max="13062" width="9.140625" style="1" customWidth="1"/>
    <col min="13063" max="13063" width="9.140625" style="1"/>
    <col min="13064" max="13064" width="10" style="1" customWidth="1"/>
    <col min="13065" max="13065" width="7.85546875" style="1" customWidth="1"/>
    <col min="13066" max="13066" width="6.140625" style="1" customWidth="1"/>
    <col min="13067" max="13067" width="8.7109375" style="1" customWidth="1"/>
    <col min="13068" max="13307" width="9.140625" style="1"/>
    <col min="13308" max="13308" width="13.42578125" style="1" customWidth="1"/>
    <col min="13309" max="13309" width="9.140625" style="1"/>
    <col min="13310" max="13310" width="17" style="1" customWidth="1"/>
    <col min="13311" max="13311" width="7.5703125" style="1" customWidth="1"/>
    <col min="13312" max="13312" width="9.140625" style="1"/>
    <col min="13313" max="13313" width="9.140625" style="1" customWidth="1"/>
    <col min="13314" max="13314" width="9.140625" style="1"/>
    <col min="13315" max="13315" width="8.7109375" style="1" customWidth="1"/>
    <col min="13316" max="13316" width="7.42578125" style="1" customWidth="1"/>
    <col min="13317" max="13317" width="7.5703125" style="1" customWidth="1"/>
    <col min="13318" max="13318" width="9.140625" style="1" customWidth="1"/>
    <col min="13319" max="13319" width="9.140625" style="1"/>
    <col min="13320" max="13320" width="10" style="1" customWidth="1"/>
    <col min="13321" max="13321" width="7.85546875" style="1" customWidth="1"/>
    <col min="13322" max="13322" width="6.140625" style="1" customWidth="1"/>
    <col min="13323" max="13323" width="8.7109375" style="1" customWidth="1"/>
    <col min="13324" max="13563" width="9.140625" style="1"/>
    <col min="13564" max="13564" width="13.42578125" style="1" customWidth="1"/>
    <col min="13565" max="13565" width="9.140625" style="1"/>
    <col min="13566" max="13566" width="17" style="1" customWidth="1"/>
    <col min="13567" max="13567" width="7.5703125" style="1" customWidth="1"/>
    <col min="13568" max="13568" width="9.140625" style="1"/>
    <col min="13569" max="13569" width="9.140625" style="1" customWidth="1"/>
    <col min="13570" max="13570" width="9.140625" style="1"/>
    <col min="13571" max="13571" width="8.7109375" style="1" customWidth="1"/>
    <col min="13572" max="13572" width="7.42578125" style="1" customWidth="1"/>
    <col min="13573" max="13573" width="7.5703125" style="1" customWidth="1"/>
    <col min="13574" max="13574" width="9.140625" style="1" customWidth="1"/>
    <col min="13575" max="13575" width="9.140625" style="1"/>
    <col min="13576" max="13576" width="10" style="1" customWidth="1"/>
    <col min="13577" max="13577" width="7.85546875" style="1" customWidth="1"/>
    <col min="13578" max="13578" width="6.140625" style="1" customWidth="1"/>
    <col min="13579" max="13579" width="8.7109375" style="1" customWidth="1"/>
    <col min="13580" max="13819" width="9.140625" style="1"/>
    <col min="13820" max="13820" width="13.42578125" style="1" customWidth="1"/>
    <col min="13821" max="13821" width="9.140625" style="1"/>
    <col min="13822" max="13822" width="17" style="1" customWidth="1"/>
    <col min="13823" max="13823" width="7.5703125" style="1" customWidth="1"/>
    <col min="13824" max="13824" width="9.140625" style="1"/>
    <col min="13825" max="13825" width="9.140625" style="1" customWidth="1"/>
    <col min="13826" max="13826" width="9.140625" style="1"/>
    <col min="13827" max="13827" width="8.7109375" style="1" customWidth="1"/>
    <col min="13828" max="13828" width="7.42578125" style="1" customWidth="1"/>
    <col min="13829" max="13829" width="7.5703125" style="1" customWidth="1"/>
    <col min="13830" max="13830" width="9.140625" style="1" customWidth="1"/>
    <col min="13831" max="13831" width="9.140625" style="1"/>
    <col min="13832" max="13832" width="10" style="1" customWidth="1"/>
    <col min="13833" max="13833" width="7.85546875" style="1" customWidth="1"/>
    <col min="13834" max="13834" width="6.140625" style="1" customWidth="1"/>
    <col min="13835" max="13835" width="8.7109375" style="1" customWidth="1"/>
    <col min="13836" max="14075" width="9.140625" style="1"/>
    <col min="14076" max="14076" width="13.42578125" style="1" customWidth="1"/>
    <col min="14077" max="14077" width="9.140625" style="1"/>
    <col min="14078" max="14078" width="17" style="1" customWidth="1"/>
    <col min="14079" max="14079" width="7.5703125" style="1" customWidth="1"/>
    <col min="14080" max="14080" width="9.140625" style="1"/>
    <col min="14081" max="14081" width="9.140625" style="1" customWidth="1"/>
    <col min="14082" max="14082" width="9.140625" style="1"/>
    <col min="14083" max="14083" width="8.7109375" style="1" customWidth="1"/>
    <col min="14084" max="14084" width="7.42578125" style="1" customWidth="1"/>
    <col min="14085" max="14085" width="7.5703125" style="1" customWidth="1"/>
    <col min="14086" max="14086" width="9.140625" style="1" customWidth="1"/>
    <col min="14087" max="14087" width="9.140625" style="1"/>
    <col min="14088" max="14088" width="10" style="1" customWidth="1"/>
    <col min="14089" max="14089" width="7.85546875" style="1" customWidth="1"/>
    <col min="14090" max="14090" width="6.140625" style="1" customWidth="1"/>
    <col min="14091" max="14091" width="8.7109375" style="1" customWidth="1"/>
    <col min="14092" max="14331" width="9.140625" style="1"/>
    <col min="14332" max="14332" width="13.42578125" style="1" customWidth="1"/>
    <col min="14333" max="14333" width="9.140625" style="1"/>
    <col min="14334" max="14334" width="17" style="1" customWidth="1"/>
    <col min="14335" max="14335" width="7.5703125" style="1" customWidth="1"/>
    <col min="14336" max="14336" width="9.140625" style="1"/>
    <col min="14337" max="14337" width="9.140625" style="1" customWidth="1"/>
    <col min="14338" max="14338" width="9.140625" style="1"/>
    <col min="14339" max="14339" width="8.7109375" style="1" customWidth="1"/>
    <col min="14340" max="14340" width="7.42578125" style="1" customWidth="1"/>
    <col min="14341" max="14341" width="7.5703125" style="1" customWidth="1"/>
    <col min="14342" max="14342" width="9.140625" style="1" customWidth="1"/>
    <col min="14343" max="14343" width="9.140625" style="1"/>
    <col min="14344" max="14344" width="10" style="1" customWidth="1"/>
    <col min="14345" max="14345" width="7.85546875" style="1" customWidth="1"/>
    <col min="14346" max="14346" width="6.140625" style="1" customWidth="1"/>
    <col min="14347" max="14347" width="8.7109375" style="1" customWidth="1"/>
    <col min="14348" max="14587" width="9.140625" style="1"/>
    <col min="14588" max="14588" width="13.42578125" style="1" customWidth="1"/>
    <col min="14589" max="14589" width="9.140625" style="1"/>
    <col min="14590" max="14590" width="17" style="1" customWidth="1"/>
    <col min="14591" max="14591" width="7.5703125" style="1" customWidth="1"/>
    <col min="14592" max="14592" width="9.140625" style="1"/>
    <col min="14593" max="14593" width="9.140625" style="1" customWidth="1"/>
    <col min="14594" max="14594" width="9.140625" style="1"/>
    <col min="14595" max="14595" width="8.7109375" style="1" customWidth="1"/>
    <col min="14596" max="14596" width="7.42578125" style="1" customWidth="1"/>
    <col min="14597" max="14597" width="7.5703125" style="1" customWidth="1"/>
    <col min="14598" max="14598" width="9.140625" style="1" customWidth="1"/>
    <col min="14599" max="14599" width="9.140625" style="1"/>
    <col min="14600" max="14600" width="10" style="1" customWidth="1"/>
    <col min="14601" max="14601" width="7.85546875" style="1" customWidth="1"/>
    <col min="14602" max="14602" width="6.140625" style="1" customWidth="1"/>
    <col min="14603" max="14603" width="8.7109375" style="1" customWidth="1"/>
    <col min="14604" max="14843" width="9.140625" style="1"/>
    <col min="14844" max="14844" width="13.42578125" style="1" customWidth="1"/>
    <col min="14845" max="14845" width="9.140625" style="1"/>
    <col min="14846" max="14846" width="17" style="1" customWidth="1"/>
    <col min="14847" max="14847" width="7.5703125" style="1" customWidth="1"/>
    <col min="14848" max="14848" width="9.140625" style="1"/>
    <col min="14849" max="14849" width="9.140625" style="1" customWidth="1"/>
    <col min="14850" max="14850" width="9.140625" style="1"/>
    <col min="14851" max="14851" width="8.7109375" style="1" customWidth="1"/>
    <col min="14852" max="14852" width="7.42578125" style="1" customWidth="1"/>
    <col min="14853" max="14853" width="7.5703125" style="1" customWidth="1"/>
    <col min="14854" max="14854" width="9.140625" style="1" customWidth="1"/>
    <col min="14855" max="14855" width="9.140625" style="1"/>
    <col min="14856" max="14856" width="10" style="1" customWidth="1"/>
    <col min="14857" max="14857" width="7.85546875" style="1" customWidth="1"/>
    <col min="14858" max="14858" width="6.140625" style="1" customWidth="1"/>
    <col min="14859" max="14859" width="8.7109375" style="1" customWidth="1"/>
    <col min="14860" max="15099" width="9.140625" style="1"/>
    <col min="15100" max="15100" width="13.42578125" style="1" customWidth="1"/>
    <col min="15101" max="15101" width="9.140625" style="1"/>
    <col min="15102" max="15102" width="17" style="1" customWidth="1"/>
    <col min="15103" max="15103" width="7.5703125" style="1" customWidth="1"/>
    <col min="15104" max="15104" width="9.140625" style="1"/>
    <col min="15105" max="15105" width="9.140625" style="1" customWidth="1"/>
    <col min="15106" max="15106" width="9.140625" style="1"/>
    <col min="15107" max="15107" width="8.7109375" style="1" customWidth="1"/>
    <col min="15108" max="15108" width="7.42578125" style="1" customWidth="1"/>
    <col min="15109" max="15109" width="7.5703125" style="1" customWidth="1"/>
    <col min="15110" max="15110" width="9.140625" style="1" customWidth="1"/>
    <col min="15111" max="15111" width="9.140625" style="1"/>
    <col min="15112" max="15112" width="10" style="1" customWidth="1"/>
    <col min="15113" max="15113" width="7.85546875" style="1" customWidth="1"/>
    <col min="15114" max="15114" width="6.140625" style="1" customWidth="1"/>
    <col min="15115" max="15115" width="8.7109375" style="1" customWidth="1"/>
    <col min="15116" max="15355" width="9.140625" style="1"/>
    <col min="15356" max="15356" width="13.42578125" style="1" customWidth="1"/>
    <col min="15357" max="15357" width="9.140625" style="1"/>
    <col min="15358" max="15358" width="17" style="1" customWidth="1"/>
    <col min="15359" max="15359" width="7.5703125" style="1" customWidth="1"/>
    <col min="15360" max="15360" width="9.140625" style="1"/>
    <col min="15361" max="15361" width="9.140625" style="1" customWidth="1"/>
    <col min="15362" max="15362" width="9.140625" style="1"/>
    <col min="15363" max="15363" width="8.7109375" style="1" customWidth="1"/>
    <col min="15364" max="15364" width="7.42578125" style="1" customWidth="1"/>
    <col min="15365" max="15365" width="7.5703125" style="1" customWidth="1"/>
    <col min="15366" max="15366" width="9.140625" style="1" customWidth="1"/>
    <col min="15367" max="15367" width="9.140625" style="1"/>
    <col min="15368" max="15368" width="10" style="1" customWidth="1"/>
    <col min="15369" max="15369" width="7.85546875" style="1" customWidth="1"/>
    <col min="15370" max="15370" width="6.140625" style="1" customWidth="1"/>
    <col min="15371" max="15371" width="8.7109375" style="1" customWidth="1"/>
    <col min="15372" max="15611" width="9.140625" style="1"/>
    <col min="15612" max="15612" width="13.42578125" style="1" customWidth="1"/>
    <col min="15613" max="15613" width="9.140625" style="1"/>
    <col min="15614" max="15614" width="17" style="1" customWidth="1"/>
    <col min="15615" max="15615" width="7.5703125" style="1" customWidth="1"/>
    <col min="15616" max="15616" width="9.140625" style="1"/>
    <col min="15617" max="15617" width="9.140625" style="1" customWidth="1"/>
    <col min="15618" max="15618" width="9.140625" style="1"/>
    <col min="15619" max="15619" width="8.7109375" style="1" customWidth="1"/>
    <col min="15620" max="15620" width="7.42578125" style="1" customWidth="1"/>
    <col min="15621" max="15621" width="7.5703125" style="1" customWidth="1"/>
    <col min="15622" max="15622" width="9.140625" style="1" customWidth="1"/>
    <col min="15623" max="15623" width="9.140625" style="1"/>
    <col min="15624" max="15624" width="10" style="1" customWidth="1"/>
    <col min="15625" max="15625" width="7.85546875" style="1" customWidth="1"/>
    <col min="15626" max="15626" width="6.140625" style="1" customWidth="1"/>
    <col min="15627" max="15627" width="8.7109375" style="1" customWidth="1"/>
    <col min="15628" max="15867" width="9.140625" style="1"/>
    <col min="15868" max="15868" width="13.42578125" style="1" customWidth="1"/>
    <col min="15869" max="15869" width="9.140625" style="1"/>
    <col min="15870" max="15870" width="17" style="1" customWidth="1"/>
    <col min="15871" max="15871" width="7.5703125" style="1" customWidth="1"/>
    <col min="15872" max="15872" width="9.140625" style="1"/>
    <col min="15873" max="15873" width="9.140625" style="1" customWidth="1"/>
    <col min="15874" max="15874" width="9.140625" style="1"/>
    <col min="15875" max="15875" width="8.7109375" style="1" customWidth="1"/>
    <col min="15876" max="15876" width="7.42578125" style="1" customWidth="1"/>
    <col min="15877" max="15877" width="7.5703125" style="1" customWidth="1"/>
    <col min="15878" max="15878" width="9.140625" style="1" customWidth="1"/>
    <col min="15879" max="15879" width="9.140625" style="1"/>
    <col min="15880" max="15880" width="10" style="1" customWidth="1"/>
    <col min="15881" max="15881" width="7.85546875" style="1" customWidth="1"/>
    <col min="15882" max="15882" width="6.140625" style="1" customWidth="1"/>
    <col min="15883" max="15883" width="8.7109375" style="1" customWidth="1"/>
    <col min="15884" max="16123" width="9.140625" style="1"/>
    <col min="16124" max="16124" width="13.42578125" style="1" customWidth="1"/>
    <col min="16125" max="16125" width="9.140625" style="1"/>
    <col min="16126" max="16126" width="17" style="1" customWidth="1"/>
    <col min="16127" max="16127" width="7.5703125" style="1" customWidth="1"/>
    <col min="16128" max="16128" width="9.140625" style="1"/>
    <col min="16129" max="16129" width="9.140625" style="1" customWidth="1"/>
    <col min="16130" max="16130" width="9.140625" style="1"/>
    <col min="16131" max="16131" width="8.7109375" style="1" customWidth="1"/>
    <col min="16132" max="16132" width="7.42578125" style="1" customWidth="1"/>
    <col min="16133" max="16133" width="7.5703125" style="1" customWidth="1"/>
    <col min="16134" max="16134" width="9.140625" style="1" customWidth="1"/>
    <col min="16135" max="16135" width="9.140625" style="1"/>
    <col min="16136" max="16136" width="10" style="1" customWidth="1"/>
    <col min="16137" max="16137" width="7.85546875" style="1" customWidth="1"/>
    <col min="16138" max="16138" width="6.140625" style="1" customWidth="1"/>
    <col min="16139" max="16139" width="8.7109375" style="1" customWidth="1"/>
    <col min="16140" max="16384" width="9.140625" style="1"/>
  </cols>
  <sheetData>
    <row r="1" spans="1:23" x14ac:dyDescent="0.2">
      <c r="A1" s="1127" t="s">
        <v>163</v>
      </c>
      <c r="B1" s="1128"/>
      <c r="C1" s="1128"/>
      <c r="D1" s="1128"/>
      <c r="E1" s="1128"/>
      <c r="F1" s="1128"/>
      <c r="G1" s="1128"/>
      <c r="H1" s="1128"/>
      <c r="I1" s="1128"/>
      <c r="J1" s="1128"/>
      <c r="K1" s="1129"/>
      <c r="M1" s="1133" t="s">
        <v>144</v>
      </c>
      <c r="N1" s="1134"/>
      <c r="O1" s="1134"/>
      <c r="P1" s="1134"/>
      <c r="Q1" s="1134"/>
      <c r="R1" s="1134"/>
      <c r="S1" s="1134"/>
      <c r="T1" s="1134"/>
      <c r="U1" s="1134"/>
      <c r="V1" s="1134"/>
      <c r="W1" s="1135"/>
    </row>
    <row r="2" spans="1:23" ht="13.5" thickBot="1" x14ac:dyDescent="0.25">
      <c r="A2" s="1130"/>
      <c r="B2" s="1131"/>
      <c r="C2" s="1131"/>
      <c r="D2" s="1131"/>
      <c r="E2" s="1131"/>
      <c r="F2" s="1131"/>
      <c r="G2" s="1131"/>
      <c r="H2" s="1131"/>
      <c r="I2" s="1131"/>
      <c r="J2" s="1131"/>
      <c r="K2" s="1132"/>
      <c r="M2" s="1136"/>
      <c r="N2" s="1137"/>
      <c r="O2" s="1137"/>
      <c r="P2" s="1137"/>
      <c r="Q2" s="1137"/>
      <c r="R2" s="1137"/>
      <c r="S2" s="1137"/>
      <c r="T2" s="1137"/>
      <c r="U2" s="1137"/>
      <c r="V2" s="1137"/>
      <c r="W2" s="1138"/>
    </row>
    <row r="3" spans="1:23" x14ac:dyDescent="0.2">
      <c r="A3" s="3"/>
      <c r="K3" s="2"/>
      <c r="M3" s="210"/>
      <c r="N3" s="281"/>
      <c r="O3" s="281"/>
      <c r="P3" s="281"/>
      <c r="Q3" s="281"/>
      <c r="R3" s="281"/>
      <c r="S3" s="281"/>
      <c r="T3" s="281"/>
      <c r="U3" s="281"/>
      <c r="V3" s="281"/>
      <c r="W3" s="211"/>
    </row>
    <row r="4" spans="1:23" x14ac:dyDescent="0.2">
      <c r="A4" s="127" t="s">
        <v>164</v>
      </c>
      <c r="B4" s="128"/>
      <c r="C4" s="129">
        <f>'DB IDA'!A416</f>
        <v>10</v>
      </c>
      <c r="D4" s="130" t="s">
        <v>8</v>
      </c>
      <c r="E4" s="131"/>
      <c r="F4" s="131"/>
      <c r="G4" s="131"/>
      <c r="H4" s="131"/>
      <c r="I4" s="131"/>
      <c r="J4" s="131"/>
      <c r="K4" s="132"/>
      <c r="M4" s="212" t="s">
        <v>165</v>
      </c>
      <c r="N4" s="213"/>
      <c r="O4" s="214">
        <f>C4</f>
        <v>10</v>
      </c>
      <c r="P4" s="215" t="s">
        <v>8</v>
      </c>
      <c r="Q4" s="216"/>
      <c r="R4" s="216"/>
      <c r="S4" s="216"/>
      <c r="T4" s="216"/>
      <c r="U4" s="216"/>
      <c r="V4" s="216"/>
      <c r="W4" s="217"/>
    </row>
    <row r="5" spans="1:23" ht="17.25" x14ac:dyDescent="0.2">
      <c r="A5" s="276" t="s">
        <v>166</v>
      </c>
      <c r="B5" s="180" t="s">
        <v>167</v>
      </c>
      <c r="C5" s="181" t="s">
        <v>168</v>
      </c>
      <c r="D5" s="180" t="s">
        <v>169</v>
      </c>
      <c r="E5" s="182" t="s">
        <v>170</v>
      </c>
      <c r="F5" s="180" t="s">
        <v>171</v>
      </c>
      <c r="G5" s="181" t="s">
        <v>172</v>
      </c>
      <c r="H5" s="180" t="s">
        <v>173</v>
      </c>
      <c r="I5" s="181" t="s">
        <v>174</v>
      </c>
      <c r="J5" s="180" t="s">
        <v>175</v>
      </c>
      <c r="K5" s="277" t="s">
        <v>176</v>
      </c>
      <c r="M5" s="218" t="s">
        <v>166</v>
      </c>
      <c r="N5" s="219" t="s">
        <v>167</v>
      </c>
      <c r="O5" s="220" t="s">
        <v>168</v>
      </c>
      <c r="P5" s="219" t="s">
        <v>177</v>
      </c>
      <c r="Q5" s="221" t="s">
        <v>170</v>
      </c>
      <c r="R5" s="219" t="s">
        <v>171</v>
      </c>
      <c r="S5" s="220" t="s">
        <v>172</v>
      </c>
      <c r="T5" s="219" t="s">
        <v>173</v>
      </c>
      <c r="U5" s="220" t="s">
        <v>174</v>
      </c>
      <c r="V5" s="219" t="s">
        <v>178</v>
      </c>
      <c r="W5" s="222" t="s">
        <v>179</v>
      </c>
    </row>
    <row r="6" spans="1:23" x14ac:dyDescent="0.2">
      <c r="A6" s="133" t="s">
        <v>180</v>
      </c>
      <c r="B6" s="134" t="str">
        <f>D4</f>
        <v>ml/h</v>
      </c>
      <c r="C6" s="135" t="s">
        <v>181</v>
      </c>
      <c r="D6" s="349">
        <f>'DB IDA'!D416</f>
        <v>1.3662601021280042E-2</v>
      </c>
      <c r="E6" s="137">
        <f>SQRT(6)</f>
        <v>2.4494897427831779</v>
      </c>
      <c r="F6" s="134">
        <v>5</v>
      </c>
      <c r="G6" s="138">
        <f>D6/E6</f>
        <v>5.5777335102274068E-3</v>
      </c>
      <c r="H6" s="139">
        <v>1</v>
      </c>
      <c r="I6" s="138">
        <f>G6*H6</f>
        <v>5.5777335102274068E-3</v>
      </c>
      <c r="J6" s="140">
        <f>I6^2</f>
        <v>3.1111111111113753E-5</v>
      </c>
      <c r="K6" s="141">
        <f>I6^4/F6</f>
        <v>1.9358024691361315E-10</v>
      </c>
      <c r="M6" s="223" t="s">
        <v>180</v>
      </c>
      <c r="N6" s="224" t="str">
        <f>P4</f>
        <v>ml/h</v>
      </c>
      <c r="O6" s="225" t="s">
        <v>181</v>
      </c>
      <c r="P6" s="226">
        <v>0</v>
      </c>
      <c r="Q6" s="227">
        <v>2.4494897427831779</v>
      </c>
      <c r="R6" s="224">
        <v>5</v>
      </c>
      <c r="S6" s="228">
        <f>P6/Q6</f>
        <v>0</v>
      </c>
      <c r="T6" s="229">
        <v>1</v>
      </c>
      <c r="U6" s="228">
        <f>S6*T6</f>
        <v>0</v>
      </c>
      <c r="V6" s="230">
        <f>U6^2</f>
        <v>0</v>
      </c>
      <c r="W6" s="231">
        <f>U6^4/R6</f>
        <v>0</v>
      </c>
    </row>
    <row r="7" spans="1:23" x14ac:dyDescent="0.2">
      <c r="A7" s="142" t="s">
        <v>182</v>
      </c>
      <c r="B7" s="134" t="str">
        <f>D4</f>
        <v>ml/h</v>
      </c>
      <c r="C7" s="143" t="s">
        <v>183</v>
      </c>
      <c r="D7" s="350">
        <f>'DB IDA'!L416</f>
        <v>5.0000000000000001E-3</v>
      </c>
      <c r="E7" s="145">
        <f>SQRT(3)</f>
        <v>1.7320508075688772</v>
      </c>
      <c r="F7" s="134">
        <f>0.5*(100/10)^2</f>
        <v>50</v>
      </c>
      <c r="G7" s="146">
        <f>D7/E7</f>
        <v>2.886751345948129E-3</v>
      </c>
      <c r="H7" s="134">
        <v>1</v>
      </c>
      <c r="I7" s="146">
        <f>G7*H7</f>
        <v>2.886751345948129E-3</v>
      </c>
      <c r="J7" s="147">
        <f>I7^2</f>
        <v>8.3333333333333337E-6</v>
      </c>
      <c r="K7" s="148">
        <f>I7^4/F7</f>
        <v>1.3888888888888891E-12</v>
      </c>
      <c r="M7" s="232" t="s">
        <v>182</v>
      </c>
      <c r="N7" s="224" t="str">
        <f>P4</f>
        <v>ml/h</v>
      </c>
      <c r="O7" s="233" t="s">
        <v>183</v>
      </c>
      <c r="P7" s="234">
        <v>0.5</v>
      </c>
      <c r="Q7" s="235">
        <v>1.7320508075688772</v>
      </c>
      <c r="R7" s="224">
        <f>0.5*(100/10)^2</f>
        <v>50</v>
      </c>
      <c r="S7" s="236">
        <f>P7/Q7</f>
        <v>0.28867513459481292</v>
      </c>
      <c r="T7" s="224">
        <v>1</v>
      </c>
      <c r="U7" s="236">
        <f>S7*T7</f>
        <v>0.28867513459481292</v>
      </c>
      <c r="V7" s="237">
        <f>U7^2</f>
        <v>8.3333333333333356E-2</v>
      </c>
      <c r="W7" s="238">
        <f>U7^4/R7</f>
        <v>1.3888888888888897E-4</v>
      </c>
    </row>
    <row r="8" spans="1:23" x14ac:dyDescent="0.2">
      <c r="A8" s="133" t="s">
        <v>184</v>
      </c>
      <c r="B8" s="134" t="str">
        <f>D4</f>
        <v>ml/h</v>
      </c>
      <c r="C8" s="134" t="s">
        <v>183</v>
      </c>
      <c r="D8" s="351">
        <f>'DB IDA'!M416</f>
        <v>0.21178391734599999</v>
      </c>
      <c r="E8" s="149">
        <f>SQRT(3)</f>
        <v>1.7320508075688772</v>
      </c>
      <c r="F8" s="134">
        <f t="shared" ref="F8:F9" si="0">0.5*(100/10)^2</f>
        <v>50</v>
      </c>
      <c r="G8" s="147">
        <f>D8/E8</f>
        <v>0.12227350168974656</v>
      </c>
      <c r="H8" s="134">
        <v>1</v>
      </c>
      <c r="I8" s="147">
        <f>G8*H8</f>
        <v>0.12227350168974656</v>
      </c>
      <c r="J8" s="147">
        <f>I8^2</f>
        <v>1.4950809215472455E-2</v>
      </c>
      <c r="K8" s="150">
        <f>I8^4/F8</f>
        <v>4.4705339239491217E-6</v>
      </c>
      <c r="M8" s="223" t="s">
        <v>184</v>
      </c>
      <c r="N8" s="224" t="str">
        <f>P4</f>
        <v>ml/h</v>
      </c>
      <c r="O8" s="224" t="s">
        <v>183</v>
      </c>
      <c r="P8" s="239">
        <v>0.22925000000000001</v>
      </c>
      <c r="Q8" s="239">
        <v>1.7320508075688772</v>
      </c>
      <c r="R8" s="224">
        <f t="shared" ref="R8:R9" si="1">0.5*(100/10)^2</f>
        <v>50</v>
      </c>
      <c r="S8" s="237">
        <f>P8/Q8</f>
        <v>0.13235754921172171</v>
      </c>
      <c r="T8" s="224">
        <v>1</v>
      </c>
      <c r="U8" s="237">
        <f>S8*T8</f>
        <v>0.13235754921172171</v>
      </c>
      <c r="V8" s="237">
        <f>U8^2</f>
        <v>1.7518520833333336E-2</v>
      </c>
      <c r="W8" s="240">
        <f>U8^4/R8</f>
        <v>6.1379714437586825E-6</v>
      </c>
    </row>
    <row r="9" spans="1:23" x14ac:dyDescent="0.2">
      <c r="A9" s="151" t="s">
        <v>185</v>
      </c>
      <c r="B9" s="134" t="str">
        <f>D4</f>
        <v>ml/h</v>
      </c>
      <c r="C9" s="143" t="s">
        <v>181</v>
      </c>
      <c r="D9" s="352">
        <f>'DB IDA'!K416</f>
        <v>0.57999999999999996</v>
      </c>
      <c r="E9" s="153">
        <v>2</v>
      </c>
      <c r="F9" s="134">
        <f t="shared" si="0"/>
        <v>50</v>
      </c>
      <c r="G9" s="146">
        <f>D9/E9</f>
        <v>0.28999999999999998</v>
      </c>
      <c r="H9" s="134">
        <v>1</v>
      </c>
      <c r="I9" s="146">
        <f>G9*H9</f>
        <v>0.28999999999999998</v>
      </c>
      <c r="J9" s="147">
        <f>I9^2</f>
        <v>8.4099999999999994E-2</v>
      </c>
      <c r="K9" s="150">
        <f>I9^4/F9</f>
        <v>1.4145619999999997E-4</v>
      </c>
      <c r="M9" s="241" t="s">
        <v>185</v>
      </c>
      <c r="N9" s="224" t="str">
        <f>P4</f>
        <v>ml/h</v>
      </c>
      <c r="O9" s="233" t="s">
        <v>181</v>
      </c>
      <c r="P9" s="242">
        <v>0.3</v>
      </c>
      <c r="Q9" s="243">
        <v>2</v>
      </c>
      <c r="R9" s="224">
        <f t="shared" si="1"/>
        <v>50</v>
      </c>
      <c r="S9" s="236">
        <f>P9/Q9</f>
        <v>0.15</v>
      </c>
      <c r="T9" s="224">
        <v>1</v>
      </c>
      <c r="U9" s="236">
        <f>S9*T9</f>
        <v>0.15</v>
      </c>
      <c r="V9" s="237">
        <f>U9^2</f>
        <v>2.2499999999999999E-2</v>
      </c>
      <c r="W9" s="240">
        <f>U9^4/R9</f>
        <v>1.0124999999999999E-5</v>
      </c>
    </row>
    <row r="10" spans="1:23" x14ac:dyDescent="0.2">
      <c r="A10" s="151"/>
      <c r="B10" s="134"/>
      <c r="C10" s="134"/>
      <c r="D10" s="134"/>
      <c r="E10" s="149"/>
      <c r="F10" s="134"/>
      <c r="G10" s="147"/>
      <c r="H10" s="134"/>
      <c r="I10" s="147"/>
      <c r="J10" s="147"/>
      <c r="K10" s="150"/>
      <c r="M10" s="241"/>
      <c r="N10" s="224"/>
      <c r="O10" s="224"/>
      <c r="P10" s="224"/>
      <c r="Q10" s="239"/>
      <c r="R10" s="224"/>
      <c r="S10" s="237"/>
      <c r="T10" s="224"/>
      <c r="U10" s="237"/>
      <c r="V10" s="237"/>
      <c r="W10" s="240"/>
    </row>
    <row r="11" spans="1:23" x14ac:dyDescent="0.2">
      <c r="A11" s="154" t="s">
        <v>186</v>
      </c>
      <c r="B11" s="155"/>
      <c r="C11" s="155"/>
      <c r="D11" s="155"/>
      <c r="E11" s="156"/>
      <c r="F11" s="155"/>
      <c r="G11" s="155"/>
      <c r="H11" s="155"/>
      <c r="I11" s="155"/>
      <c r="J11" s="157">
        <f>SUM(J6:J9)</f>
        <v>9.9090253659916902E-2</v>
      </c>
      <c r="K11" s="158">
        <f>SUM(K6:K9)</f>
        <v>1.459269288930849E-4</v>
      </c>
      <c r="M11" s="244" t="s">
        <v>186</v>
      </c>
      <c r="N11" s="245"/>
      <c r="O11" s="245"/>
      <c r="P11" s="245"/>
      <c r="Q11" s="246"/>
      <c r="R11" s="245"/>
      <c r="S11" s="245"/>
      <c r="T11" s="245"/>
      <c r="U11" s="245"/>
      <c r="V11" s="247">
        <f>SUM(V6:V9)</f>
        <v>0.12335185416666669</v>
      </c>
      <c r="W11" s="248">
        <f>SUM(W6:W9)</f>
        <v>1.5515186033264764E-4</v>
      </c>
    </row>
    <row r="12" spans="1:23" ht="15.75" x14ac:dyDescent="0.3">
      <c r="A12" s="159" t="s">
        <v>187</v>
      </c>
      <c r="B12" s="160"/>
      <c r="C12" s="160"/>
      <c r="D12" s="160"/>
      <c r="E12" s="161"/>
      <c r="F12" s="160"/>
      <c r="G12" s="162" t="s">
        <v>188</v>
      </c>
      <c r="H12" s="160"/>
      <c r="I12" s="160"/>
      <c r="J12" s="163">
        <f>SQRT(J11)</f>
        <v>0.31478604425850409</v>
      </c>
      <c r="K12" s="164"/>
      <c r="M12" s="249" t="s">
        <v>187</v>
      </c>
      <c r="N12" s="250"/>
      <c r="O12" s="250"/>
      <c r="P12" s="250"/>
      <c r="Q12" s="251"/>
      <c r="R12" s="250"/>
      <c r="S12" s="252" t="s">
        <v>189</v>
      </c>
      <c r="T12" s="250"/>
      <c r="U12" s="250"/>
      <c r="V12" s="253">
        <f>SQRT(V11)</f>
        <v>0.35121482623412509</v>
      </c>
      <c r="W12" s="254"/>
    </row>
    <row r="13" spans="1:23" ht="15.75" x14ac:dyDescent="0.3">
      <c r="A13" s="154" t="s">
        <v>190</v>
      </c>
      <c r="B13" s="155"/>
      <c r="C13" s="155"/>
      <c r="D13" s="155"/>
      <c r="E13" s="156"/>
      <c r="F13" s="155"/>
      <c r="G13" s="131" t="s">
        <v>191</v>
      </c>
      <c r="H13" s="155"/>
      <c r="I13" s="155"/>
      <c r="J13" s="157">
        <f>J12^4/(K11)</f>
        <v>67.286267482409599</v>
      </c>
      <c r="K13" s="165"/>
      <c r="M13" s="244" t="s">
        <v>190</v>
      </c>
      <c r="N13" s="245"/>
      <c r="O13" s="245"/>
      <c r="P13" s="245"/>
      <c r="Q13" s="246"/>
      <c r="R13" s="245"/>
      <c r="S13" s="216" t="s">
        <v>192</v>
      </c>
      <c r="T13" s="245"/>
      <c r="U13" s="245"/>
      <c r="V13" s="247">
        <f>V12^4/(W11)</f>
        <v>98.06959384007375</v>
      </c>
      <c r="W13" s="255"/>
    </row>
    <row r="14" spans="1:23" x14ac:dyDescent="0.2">
      <c r="A14" s="159" t="s">
        <v>193</v>
      </c>
      <c r="B14" s="160"/>
      <c r="C14" s="160"/>
      <c r="D14" s="160"/>
      <c r="E14" s="161"/>
      <c r="F14" s="160"/>
      <c r="G14" s="128" t="s">
        <v>194</v>
      </c>
      <c r="H14" s="160"/>
      <c r="I14" s="160"/>
      <c r="J14" s="163">
        <f>1.95996+(2.37356/J13)+(2.818745/J13^2)+(2.546662/J13^3)+(1.761829/J13^4)+(0.245458/J13^5)+(1.000764/J13^6)</f>
        <v>1.9958665855933844</v>
      </c>
      <c r="K14" s="164"/>
      <c r="M14" s="249" t="s">
        <v>193</v>
      </c>
      <c r="N14" s="250"/>
      <c r="O14" s="250"/>
      <c r="P14" s="250"/>
      <c r="Q14" s="251"/>
      <c r="R14" s="250"/>
      <c r="S14" s="213" t="s">
        <v>194</v>
      </c>
      <c r="T14" s="250"/>
      <c r="U14" s="250"/>
      <c r="V14" s="253">
        <f>1.95996+(2.37356/V13)+(2.818745/V13^2)+(2.546662/V13^3)+(1.761829/V13^4)+(0.245458/V13^5)+(1.000764/V13^6)</f>
        <v>1.984458612263053</v>
      </c>
      <c r="W14" s="254"/>
    </row>
    <row r="15" spans="1:23" x14ac:dyDescent="0.2">
      <c r="A15" s="166" t="s">
        <v>195</v>
      </c>
      <c r="B15" s="167"/>
      <c r="C15" s="167"/>
      <c r="D15" s="167"/>
      <c r="E15" s="168"/>
      <c r="F15" s="167"/>
      <c r="G15" s="169" t="s">
        <v>196</v>
      </c>
      <c r="H15" s="167"/>
      <c r="I15" s="167"/>
      <c r="J15" s="199">
        <f>J12*J14</f>
        <v>0.62827094734666855</v>
      </c>
      <c r="K15" s="170" t="str">
        <f>D4</f>
        <v>ml/h</v>
      </c>
      <c r="M15" s="256" t="s">
        <v>195</v>
      </c>
      <c r="N15" s="257"/>
      <c r="O15" s="257"/>
      <c r="P15" s="257"/>
      <c r="Q15" s="258"/>
      <c r="R15" s="257"/>
      <c r="S15" s="259" t="s">
        <v>196</v>
      </c>
      <c r="T15" s="257"/>
      <c r="U15" s="257"/>
      <c r="V15" s="260">
        <f>V12*V14</f>
        <v>0.69697128667478114</v>
      </c>
      <c r="W15" s="261" t="str">
        <f>P4</f>
        <v>ml/h</v>
      </c>
    </row>
    <row r="16" spans="1:23" x14ac:dyDescent="0.2">
      <c r="A16" s="3"/>
      <c r="J16" s="201"/>
      <c r="K16" s="2"/>
      <c r="M16" s="210"/>
      <c r="N16" s="281"/>
      <c r="O16" s="281"/>
      <c r="P16" s="281"/>
      <c r="Q16" s="281"/>
      <c r="R16" s="281"/>
      <c r="S16" s="281"/>
      <c r="T16" s="281"/>
      <c r="U16" s="281"/>
      <c r="V16" s="281"/>
      <c r="W16" s="211"/>
    </row>
    <row r="17" spans="1:23" x14ac:dyDescent="0.2">
      <c r="A17" s="127" t="str">
        <f>A4</f>
        <v>Flowrate</v>
      </c>
      <c r="B17" s="128"/>
      <c r="C17" s="129">
        <f>'DB IDA'!A417</f>
        <v>50</v>
      </c>
      <c r="D17" s="130" t="str">
        <f>D4</f>
        <v>ml/h</v>
      </c>
      <c r="E17" s="131"/>
      <c r="F17" s="131"/>
      <c r="G17" s="131"/>
      <c r="H17" s="131"/>
      <c r="I17" s="131"/>
      <c r="J17" s="131"/>
      <c r="K17" s="132"/>
      <c r="M17" s="212" t="str">
        <f>M4</f>
        <v>Flow</v>
      </c>
      <c r="N17" s="213"/>
      <c r="O17" s="214">
        <f>C17</f>
        <v>50</v>
      </c>
      <c r="P17" s="215" t="str">
        <f>P4</f>
        <v>ml/h</v>
      </c>
      <c r="Q17" s="216"/>
      <c r="R17" s="216"/>
      <c r="S17" s="216"/>
      <c r="T17" s="216"/>
      <c r="U17" s="216"/>
      <c r="V17" s="216"/>
      <c r="W17" s="217"/>
    </row>
    <row r="18" spans="1:23" ht="17.25" x14ac:dyDescent="0.2">
      <c r="A18" s="276" t="s">
        <v>166</v>
      </c>
      <c r="B18" s="180" t="s">
        <v>167</v>
      </c>
      <c r="C18" s="181" t="s">
        <v>168</v>
      </c>
      <c r="D18" s="180" t="s">
        <v>169</v>
      </c>
      <c r="E18" s="182" t="s">
        <v>170</v>
      </c>
      <c r="F18" s="180" t="s">
        <v>171</v>
      </c>
      <c r="G18" s="181" t="s">
        <v>172</v>
      </c>
      <c r="H18" s="180" t="s">
        <v>173</v>
      </c>
      <c r="I18" s="181" t="s">
        <v>174</v>
      </c>
      <c r="J18" s="180" t="s">
        <v>175</v>
      </c>
      <c r="K18" s="277" t="s">
        <v>176</v>
      </c>
      <c r="M18" s="218" t="s">
        <v>166</v>
      </c>
      <c r="N18" s="219" t="s">
        <v>167</v>
      </c>
      <c r="O18" s="220" t="s">
        <v>168</v>
      </c>
      <c r="P18" s="219" t="s">
        <v>177</v>
      </c>
      <c r="Q18" s="221" t="s">
        <v>170</v>
      </c>
      <c r="R18" s="219" t="s">
        <v>171</v>
      </c>
      <c r="S18" s="220" t="s">
        <v>172</v>
      </c>
      <c r="T18" s="219" t="s">
        <v>173</v>
      </c>
      <c r="U18" s="220" t="s">
        <v>174</v>
      </c>
      <c r="V18" s="219" t="s">
        <v>178</v>
      </c>
      <c r="W18" s="222" t="s">
        <v>179</v>
      </c>
    </row>
    <row r="19" spans="1:23" x14ac:dyDescent="0.2">
      <c r="A19" s="133" t="s">
        <v>180</v>
      </c>
      <c r="B19" s="134" t="str">
        <f>D17</f>
        <v>ml/h</v>
      </c>
      <c r="C19" s="135" t="s">
        <v>181</v>
      </c>
      <c r="D19" s="349">
        <f>'DB IDA'!D417</f>
        <v>1.3662601021279518E-2</v>
      </c>
      <c r="E19" s="137">
        <f>SQRT(6)</f>
        <v>2.4494897427831779</v>
      </c>
      <c r="F19" s="134">
        <v>5</v>
      </c>
      <c r="G19" s="138">
        <f>D19/E19</f>
        <v>5.5777335102271926E-3</v>
      </c>
      <c r="H19" s="139">
        <v>1</v>
      </c>
      <c r="I19" s="138">
        <f>G19*H19</f>
        <v>5.5777335102271926E-3</v>
      </c>
      <c r="J19" s="140">
        <f>I19^2</f>
        <v>3.1111111111111361E-5</v>
      </c>
      <c r="K19" s="141">
        <f>I19^4/F19</f>
        <v>1.9358024691358337E-10</v>
      </c>
      <c r="M19" s="223" t="s">
        <v>180</v>
      </c>
      <c r="N19" s="224" t="str">
        <f>P17</f>
        <v>ml/h</v>
      </c>
      <c r="O19" s="225" t="s">
        <v>181</v>
      </c>
      <c r="P19" s="226">
        <v>0</v>
      </c>
      <c r="Q19" s="227">
        <v>2.4494897427831779</v>
      </c>
      <c r="R19" s="224">
        <v>5</v>
      </c>
      <c r="S19" s="228">
        <f>P19/Q19</f>
        <v>0</v>
      </c>
      <c r="T19" s="229">
        <v>1</v>
      </c>
      <c r="U19" s="228">
        <f>S19*T19</f>
        <v>0</v>
      </c>
      <c r="V19" s="230">
        <f>U19^2</f>
        <v>0</v>
      </c>
      <c r="W19" s="231">
        <f>U19^4/R19</f>
        <v>0</v>
      </c>
    </row>
    <row r="20" spans="1:23" x14ac:dyDescent="0.2">
      <c r="A20" s="142" t="s">
        <v>182</v>
      </c>
      <c r="B20" s="134" t="str">
        <f>D17</f>
        <v>ml/h</v>
      </c>
      <c r="C20" s="143" t="s">
        <v>183</v>
      </c>
      <c r="D20" s="350">
        <f>'DB IDA'!L416</f>
        <v>5.0000000000000001E-3</v>
      </c>
      <c r="E20" s="145">
        <f>SQRT(3)</f>
        <v>1.7320508075688772</v>
      </c>
      <c r="F20" s="134">
        <f>0.5*(100/10)^2</f>
        <v>50</v>
      </c>
      <c r="G20" s="146">
        <f>D20/E20</f>
        <v>2.886751345948129E-3</v>
      </c>
      <c r="H20" s="134">
        <v>1</v>
      </c>
      <c r="I20" s="146">
        <f>G20*H20</f>
        <v>2.886751345948129E-3</v>
      </c>
      <c r="J20" s="147">
        <f>I20^2</f>
        <v>8.3333333333333337E-6</v>
      </c>
      <c r="K20" s="148">
        <f>I20^4/F20</f>
        <v>1.3888888888888891E-12</v>
      </c>
      <c r="M20" s="232" t="s">
        <v>182</v>
      </c>
      <c r="N20" s="224" t="str">
        <f>P17</f>
        <v>ml/h</v>
      </c>
      <c r="O20" s="233" t="s">
        <v>183</v>
      </c>
      <c r="P20" s="234">
        <v>0.5</v>
      </c>
      <c r="Q20" s="235">
        <v>1.7320508075688772</v>
      </c>
      <c r="R20" s="224">
        <f>0.5*(100/10)^2</f>
        <v>50</v>
      </c>
      <c r="S20" s="236">
        <f>P20/Q20</f>
        <v>0.28867513459481292</v>
      </c>
      <c r="T20" s="224">
        <v>1</v>
      </c>
      <c r="U20" s="236">
        <f>S20*T20</f>
        <v>0.28867513459481292</v>
      </c>
      <c r="V20" s="237">
        <f>U20^2</f>
        <v>8.3333333333333356E-2</v>
      </c>
      <c r="W20" s="238">
        <f>U20^4/R20</f>
        <v>1.3888888888888897E-4</v>
      </c>
    </row>
    <row r="21" spans="1:23" x14ac:dyDescent="0.2">
      <c r="A21" s="133" t="s">
        <v>184</v>
      </c>
      <c r="B21" s="134" t="str">
        <f>D17</f>
        <v>ml/h</v>
      </c>
      <c r="C21" s="134" t="s">
        <v>183</v>
      </c>
      <c r="D21" s="351">
        <f>'DB IDA'!M417</f>
        <v>0.24480402499999959</v>
      </c>
      <c r="E21" s="149">
        <f>SQRT(3)</f>
        <v>1.7320508075688772</v>
      </c>
      <c r="F21" s="134">
        <f t="shared" ref="F21:F22" si="2">0.5*(100/10)^2</f>
        <v>50</v>
      </c>
      <c r="G21" s="147">
        <f>D21/E21</f>
        <v>0.14133766973245365</v>
      </c>
      <c r="H21" s="134">
        <v>1</v>
      </c>
      <c r="I21" s="147">
        <f>G21*H21</f>
        <v>0.14133766973245365</v>
      </c>
      <c r="J21" s="147">
        <f>I21^2</f>
        <v>1.9976336885400146E-2</v>
      </c>
      <c r="K21" s="150">
        <f>I21^4/F21</f>
        <v>7.9810807071799684E-6</v>
      </c>
      <c r="M21" s="223" t="s">
        <v>184</v>
      </c>
      <c r="N21" s="224" t="str">
        <f>P17</f>
        <v>ml/h</v>
      </c>
      <c r="O21" s="224" t="s">
        <v>183</v>
      </c>
      <c r="P21" s="239">
        <v>0.2</v>
      </c>
      <c r="Q21" s="239">
        <v>1.7320508075688772</v>
      </c>
      <c r="R21" s="224">
        <f t="shared" ref="R21:R22" si="3">0.5*(100/10)^2</f>
        <v>50</v>
      </c>
      <c r="S21" s="237">
        <f>P21/Q21</f>
        <v>0.11547005383792516</v>
      </c>
      <c r="T21" s="224">
        <v>1</v>
      </c>
      <c r="U21" s="237">
        <f>S21*T21</f>
        <v>0.11547005383792516</v>
      </c>
      <c r="V21" s="237">
        <f>U21^2</f>
        <v>1.3333333333333336E-2</v>
      </c>
      <c r="W21" s="240">
        <f>U21^4/R21</f>
        <v>3.5555555555555568E-6</v>
      </c>
    </row>
    <row r="22" spans="1:23" x14ac:dyDescent="0.2">
      <c r="A22" s="151" t="s">
        <v>185</v>
      </c>
      <c r="B22" s="134" t="str">
        <f>D17</f>
        <v>ml/h</v>
      </c>
      <c r="C22" s="143" t="s">
        <v>181</v>
      </c>
      <c r="D22" s="352">
        <f>'DB IDA'!K417</f>
        <v>0.57999999999999996</v>
      </c>
      <c r="E22" s="153">
        <v>2</v>
      </c>
      <c r="F22" s="134">
        <f t="shared" si="2"/>
        <v>50</v>
      </c>
      <c r="G22" s="146">
        <f>D22/E22</f>
        <v>0.28999999999999998</v>
      </c>
      <c r="H22" s="134">
        <v>1</v>
      </c>
      <c r="I22" s="146">
        <f>G22*H22</f>
        <v>0.28999999999999998</v>
      </c>
      <c r="J22" s="147">
        <f>I22^2</f>
        <v>8.4099999999999994E-2</v>
      </c>
      <c r="K22" s="150">
        <f>I22^4/F22</f>
        <v>1.4145619999999997E-4</v>
      </c>
      <c r="M22" s="241" t="s">
        <v>185</v>
      </c>
      <c r="N22" s="224" t="str">
        <f>P17</f>
        <v>ml/h</v>
      </c>
      <c r="O22" s="233" t="s">
        <v>181</v>
      </c>
      <c r="P22" s="242">
        <v>0.3</v>
      </c>
      <c r="Q22" s="243">
        <v>2</v>
      </c>
      <c r="R22" s="224">
        <f t="shared" si="3"/>
        <v>50</v>
      </c>
      <c r="S22" s="236">
        <f>P22/Q22</f>
        <v>0.15</v>
      </c>
      <c r="T22" s="224">
        <v>1</v>
      </c>
      <c r="U22" s="236">
        <f>S22*T22</f>
        <v>0.15</v>
      </c>
      <c r="V22" s="237">
        <f>U22^2</f>
        <v>2.2499999999999999E-2</v>
      </c>
      <c r="W22" s="240">
        <f>U22^4/R22</f>
        <v>1.0124999999999999E-5</v>
      </c>
    </row>
    <row r="23" spans="1:23" x14ac:dyDescent="0.2">
      <c r="A23" s="151"/>
      <c r="B23" s="134"/>
      <c r="C23" s="134"/>
      <c r="D23" s="134"/>
      <c r="E23" s="149"/>
      <c r="F23" s="134"/>
      <c r="G23" s="147"/>
      <c r="H23" s="134"/>
      <c r="I23" s="147"/>
      <c r="J23" s="147"/>
      <c r="K23" s="150"/>
      <c r="M23" s="241"/>
      <c r="N23" s="224"/>
      <c r="O23" s="224"/>
      <c r="P23" s="224"/>
      <c r="Q23" s="239"/>
      <c r="R23" s="224"/>
      <c r="S23" s="237"/>
      <c r="T23" s="224"/>
      <c r="U23" s="237"/>
      <c r="V23" s="237"/>
      <c r="W23" s="240"/>
    </row>
    <row r="24" spans="1:23" x14ac:dyDescent="0.2">
      <c r="A24" s="154" t="s">
        <v>186</v>
      </c>
      <c r="B24" s="155"/>
      <c r="C24" s="155"/>
      <c r="D24" s="155"/>
      <c r="E24" s="156"/>
      <c r="F24" s="155"/>
      <c r="G24" s="155"/>
      <c r="H24" s="155"/>
      <c r="I24" s="155"/>
      <c r="J24" s="157">
        <f>SUM(J19:J22)</f>
        <v>0.10411578132984459</v>
      </c>
      <c r="K24" s="158">
        <f>SUM(K19:K22)</f>
        <v>1.4943747567631573E-4</v>
      </c>
      <c r="M24" s="244" t="s">
        <v>186</v>
      </c>
      <c r="N24" s="245"/>
      <c r="O24" s="245"/>
      <c r="P24" s="245"/>
      <c r="Q24" s="246"/>
      <c r="R24" s="245"/>
      <c r="S24" s="245"/>
      <c r="T24" s="245"/>
      <c r="U24" s="245"/>
      <c r="V24" s="247">
        <f>SUM(V19:V22)</f>
        <v>0.1191666666666667</v>
      </c>
      <c r="W24" s="248">
        <f>SUM(W19:W22)</f>
        <v>1.5256944444444451E-4</v>
      </c>
    </row>
    <row r="25" spans="1:23" ht="15.75" x14ac:dyDescent="0.3">
      <c r="A25" s="159" t="s">
        <v>187</v>
      </c>
      <c r="B25" s="160"/>
      <c r="C25" s="160"/>
      <c r="D25" s="160"/>
      <c r="E25" s="161"/>
      <c r="F25" s="160"/>
      <c r="G25" s="162" t="s">
        <v>188</v>
      </c>
      <c r="H25" s="160"/>
      <c r="I25" s="160"/>
      <c r="J25" s="163">
        <f>SQRT(J24)</f>
        <v>0.32266977132951979</v>
      </c>
      <c r="K25" s="164"/>
      <c r="M25" s="249" t="s">
        <v>187</v>
      </c>
      <c r="N25" s="250"/>
      <c r="O25" s="250"/>
      <c r="P25" s="250"/>
      <c r="Q25" s="251"/>
      <c r="R25" s="250"/>
      <c r="S25" s="252" t="s">
        <v>189</v>
      </c>
      <c r="T25" s="250"/>
      <c r="U25" s="250"/>
      <c r="V25" s="253">
        <f>SQRT(V24)</f>
        <v>0.34520525295346638</v>
      </c>
      <c r="W25" s="254"/>
    </row>
    <row r="26" spans="1:23" ht="15.75" x14ac:dyDescent="0.3">
      <c r="A26" s="154" t="s">
        <v>190</v>
      </c>
      <c r="B26" s="155"/>
      <c r="C26" s="155"/>
      <c r="D26" s="155"/>
      <c r="E26" s="156"/>
      <c r="F26" s="155"/>
      <c r="G26" s="131" t="s">
        <v>191</v>
      </c>
      <c r="H26" s="155"/>
      <c r="I26" s="155"/>
      <c r="J26" s="157">
        <f>J25^4/(K24)</f>
        <v>72.539340435620446</v>
      </c>
      <c r="K26" s="165"/>
      <c r="M26" s="244" t="s">
        <v>190</v>
      </c>
      <c r="N26" s="245"/>
      <c r="O26" s="245"/>
      <c r="P26" s="245"/>
      <c r="Q26" s="246"/>
      <c r="R26" s="245"/>
      <c r="S26" s="216" t="s">
        <v>192</v>
      </c>
      <c r="T26" s="245"/>
      <c r="U26" s="245"/>
      <c r="V26" s="247">
        <f>V25^4/(W24)</f>
        <v>93.076923076923109</v>
      </c>
      <c r="W26" s="255"/>
    </row>
    <row r="27" spans="1:23" x14ac:dyDescent="0.2">
      <c r="A27" s="159" t="s">
        <v>193</v>
      </c>
      <c r="B27" s="160"/>
      <c r="C27" s="160"/>
      <c r="D27" s="160"/>
      <c r="E27" s="161"/>
      <c r="F27" s="160"/>
      <c r="G27" s="128" t="s">
        <v>194</v>
      </c>
      <c r="H27" s="160"/>
      <c r="I27" s="160"/>
      <c r="J27" s="163">
        <f>1.95996+(2.37356/J26)+(2.818745/J26^2)+(2.546662/J26^3)+(1.761829/J26^4)+(0.245458/J26^5)+(1.000764/J26^6)</f>
        <v>1.9932234228936427</v>
      </c>
      <c r="K27" s="164"/>
      <c r="M27" s="249" t="s">
        <v>193</v>
      </c>
      <c r="N27" s="250"/>
      <c r="O27" s="250"/>
      <c r="P27" s="250"/>
      <c r="Q27" s="251"/>
      <c r="R27" s="250"/>
      <c r="S27" s="213" t="s">
        <v>194</v>
      </c>
      <c r="T27" s="250"/>
      <c r="U27" s="250"/>
      <c r="V27" s="253">
        <f>1.95996+(2.37356/V26)+(2.818745/V26^2)+(2.546662/V26^3)+(1.761829/V26^4)+(0.245458/V26^5)+(1.000764/V26^6)</f>
        <v>1.9857896052921029</v>
      </c>
      <c r="W27" s="254"/>
    </row>
    <row r="28" spans="1:23" x14ac:dyDescent="0.2">
      <c r="A28" s="166" t="s">
        <v>195</v>
      </c>
      <c r="B28" s="167"/>
      <c r="C28" s="167"/>
      <c r="D28" s="167"/>
      <c r="E28" s="168"/>
      <c r="F28" s="167"/>
      <c r="G28" s="169" t="s">
        <v>196</v>
      </c>
      <c r="H28" s="167"/>
      <c r="I28" s="167"/>
      <c r="J28" s="199">
        <f>J25*J27</f>
        <v>0.64315294607373441</v>
      </c>
      <c r="K28" s="170" t="str">
        <f>D17</f>
        <v>ml/h</v>
      </c>
      <c r="M28" s="256" t="s">
        <v>195</v>
      </c>
      <c r="N28" s="257"/>
      <c r="O28" s="257"/>
      <c r="P28" s="257"/>
      <c r="Q28" s="258"/>
      <c r="R28" s="257"/>
      <c r="S28" s="259" t="s">
        <v>196</v>
      </c>
      <c r="T28" s="257"/>
      <c r="U28" s="257"/>
      <c r="V28" s="260">
        <f>V25*V27</f>
        <v>0.6855050030072245</v>
      </c>
      <c r="W28" s="261" t="str">
        <f>P17</f>
        <v>ml/h</v>
      </c>
    </row>
    <row r="29" spans="1:23" x14ac:dyDescent="0.2">
      <c r="A29" s="3"/>
      <c r="J29" s="201"/>
      <c r="K29" s="2"/>
      <c r="M29" s="210"/>
      <c r="N29" s="281"/>
      <c r="O29" s="281"/>
      <c r="P29" s="281"/>
      <c r="Q29" s="281"/>
      <c r="R29" s="281"/>
      <c r="S29" s="281"/>
      <c r="T29" s="281"/>
      <c r="U29" s="281"/>
      <c r="V29" s="281"/>
      <c r="W29" s="211"/>
    </row>
    <row r="30" spans="1:23" x14ac:dyDescent="0.2">
      <c r="A30" s="127" t="str">
        <f>A4</f>
        <v>Flowrate</v>
      </c>
      <c r="B30" s="128"/>
      <c r="C30" s="129">
        <f>'DB IDA'!A418</f>
        <v>100</v>
      </c>
      <c r="D30" s="130" t="str">
        <f>D4</f>
        <v>ml/h</v>
      </c>
      <c r="E30" s="131"/>
      <c r="F30" s="131"/>
      <c r="G30" s="131"/>
      <c r="H30" s="131"/>
      <c r="I30" s="131"/>
      <c r="J30" s="131"/>
      <c r="K30" s="132"/>
      <c r="M30" s="212" t="str">
        <f>M4</f>
        <v>Flow</v>
      </c>
      <c r="N30" s="213"/>
      <c r="O30" s="214">
        <f>C30</f>
        <v>100</v>
      </c>
      <c r="P30" s="215" t="str">
        <f>P4</f>
        <v>ml/h</v>
      </c>
      <c r="Q30" s="216"/>
      <c r="R30" s="216"/>
      <c r="S30" s="216"/>
      <c r="T30" s="216"/>
      <c r="U30" s="216"/>
      <c r="V30" s="216"/>
      <c r="W30" s="217"/>
    </row>
    <row r="31" spans="1:23" ht="17.25" x14ac:dyDescent="0.2">
      <c r="A31" s="276" t="s">
        <v>166</v>
      </c>
      <c r="B31" s="180" t="s">
        <v>167</v>
      </c>
      <c r="C31" s="181" t="s">
        <v>168</v>
      </c>
      <c r="D31" s="180" t="s">
        <v>169</v>
      </c>
      <c r="E31" s="182" t="s">
        <v>170</v>
      </c>
      <c r="F31" s="180" t="s">
        <v>171</v>
      </c>
      <c r="G31" s="181" t="s">
        <v>172</v>
      </c>
      <c r="H31" s="180" t="s">
        <v>173</v>
      </c>
      <c r="I31" s="181" t="s">
        <v>174</v>
      </c>
      <c r="J31" s="180" t="s">
        <v>175</v>
      </c>
      <c r="K31" s="277" t="s">
        <v>176</v>
      </c>
      <c r="M31" s="218" t="s">
        <v>166</v>
      </c>
      <c r="N31" s="219" t="s">
        <v>167</v>
      </c>
      <c r="O31" s="220" t="s">
        <v>168</v>
      </c>
      <c r="P31" s="219" t="s">
        <v>177</v>
      </c>
      <c r="Q31" s="221" t="s">
        <v>170</v>
      </c>
      <c r="R31" s="219" t="s">
        <v>171</v>
      </c>
      <c r="S31" s="220" t="s">
        <v>172</v>
      </c>
      <c r="T31" s="219" t="s">
        <v>173</v>
      </c>
      <c r="U31" s="220" t="s">
        <v>174</v>
      </c>
      <c r="V31" s="219" t="s">
        <v>178</v>
      </c>
      <c r="W31" s="222" t="s">
        <v>179</v>
      </c>
    </row>
    <row r="32" spans="1:23" x14ac:dyDescent="0.2">
      <c r="A32" s="133" t="s">
        <v>180</v>
      </c>
      <c r="B32" s="134" t="str">
        <f>D30</f>
        <v>ml/h</v>
      </c>
      <c r="C32" s="135" t="s">
        <v>181</v>
      </c>
      <c r="D32" s="349">
        <f>'DB IDA'!D418</f>
        <v>1.8618986725027657E-2</v>
      </c>
      <c r="E32" s="137">
        <f>SQRT(6)</f>
        <v>2.4494897427831779</v>
      </c>
      <c r="F32" s="134">
        <v>5</v>
      </c>
      <c r="G32" s="138">
        <f>D32/E32</f>
        <v>7.6011695006619013E-3</v>
      </c>
      <c r="H32" s="139">
        <v>1</v>
      </c>
      <c r="I32" s="138">
        <f>G32*H32</f>
        <v>7.6011695006619013E-3</v>
      </c>
      <c r="J32" s="140">
        <f>I32^2</f>
        <v>5.7777777777792698E-5</v>
      </c>
      <c r="K32" s="141">
        <f>I32^4/F32</f>
        <v>6.6765432098799918E-10</v>
      </c>
      <c r="M32" s="223" t="s">
        <v>180</v>
      </c>
      <c r="N32" s="224" t="str">
        <f>P30</f>
        <v>ml/h</v>
      </c>
      <c r="O32" s="225" t="s">
        <v>181</v>
      </c>
      <c r="P32" s="226">
        <v>0</v>
      </c>
      <c r="Q32" s="227">
        <v>2.4494897427831779</v>
      </c>
      <c r="R32" s="224">
        <v>5</v>
      </c>
      <c r="S32" s="228">
        <f>P32/Q32</f>
        <v>0</v>
      </c>
      <c r="T32" s="229">
        <v>1</v>
      </c>
      <c r="U32" s="228">
        <f>S32*T32</f>
        <v>0</v>
      </c>
      <c r="V32" s="230">
        <f>U32^2</f>
        <v>0</v>
      </c>
      <c r="W32" s="231">
        <f>U32^4/R32</f>
        <v>0</v>
      </c>
    </row>
    <row r="33" spans="1:23" x14ac:dyDescent="0.2">
      <c r="A33" s="142" t="s">
        <v>182</v>
      </c>
      <c r="B33" s="134" t="str">
        <f>D30</f>
        <v>ml/h</v>
      </c>
      <c r="C33" s="143" t="s">
        <v>183</v>
      </c>
      <c r="D33" s="350">
        <f>'DB IDA'!L418</f>
        <v>0.05</v>
      </c>
      <c r="E33" s="145">
        <f>SQRT(3)</f>
        <v>1.7320508075688772</v>
      </c>
      <c r="F33" s="134">
        <f>0.5*(100/10)^2</f>
        <v>50</v>
      </c>
      <c r="G33" s="146">
        <f>D33/E33</f>
        <v>2.8867513459481291E-2</v>
      </c>
      <c r="H33" s="134">
        <v>1</v>
      </c>
      <c r="I33" s="146">
        <f>G33*H33</f>
        <v>2.8867513459481291E-2</v>
      </c>
      <c r="J33" s="147">
        <f>I33^2</f>
        <v>8.333333333333335E-4</v>
      </c>
      <c r="K33" s="148">
        <f>I33^4/F33</f>
        <v>1.3888888888888894E-8</v>
      </c>
      <c r="M33" s="232" t="s">
        <v>182</v>
      </c>
      <c r="N33" s="224" t="str">
        <f>P30</f>
        <v>ml/h</v>
      </c>
      <c r="O33" s="233" t="s">
        <v>183</v>
      </c>
      <c r="P33" s="234">
        <v>0.5</v>
      </c>
      <c r="Q33" s="235">
        <v>1.7320508075688772</v>
      </c>
      <c r="R33" s="224">
        <f>0.5*(100/10)^2</f>
        <v>50</v>
      </c>
      <c r="S33" s="236">
        <f>P33/Q33</f>
        <v>0.28867513459481292</v>
      </c>
      <c r="T33" s="224">
        <v>1</v>
      </c>
      <c r="U33" s="236">
        <f>S33*T33</f>
        <v>0.28867513459481292</v>
      </c>
      <c r="V33" s="237">
        <f>U33^2</f>
        <v>8.3333333333333356E-2</v>
      </c>
      <c r="W33" s="238">
        <f>U33^4/R33</f>
        <v>1.3888888888888897E-4</v>
      </c>
    </row>
    <row r="34" spans="1:23" x14ac:dyDescent="0.2">
      <c r="A34" s="133" t="s">
        <v>197</v>
      </c>
      <c r="B34" s="134" t="str">
        <f>D30</f>
        <v>ml/h</v>
      </c>
      <c r="C34" s="134" t="s">
        <v>183</v>
      </c>
      <c r="D34" s="351">
        <f>'DB IDA'!M418</f>
        <v>0.27468996480000168</v>
      </c>
      <c r="E34" s="149">
        <f>SQRT(3)</f>
        <v>1.7320508075688772</v>
      </c>
      <c r="F34" s="134">
        <f t="shared" ref="F34:F35" si="4">0.5*(100/10)^2</f>
        <v>50</v>
      </c>
      <c r="G34" s="147">
        <f>D34/E34</f>
        <v>0.1585923251209698</v>
      </c>
      <c r="H34" s="134">
        <v>1</v>
      </c>
      <c r="I34" s="147">
        <f>G34*H34</f>
        <v>0.1585923251209698</v>
      </c>
      <c r="J34" s="147">
        <f>I34^2</f>
        <v>2.5151525587275389E-2</v>
      </c>
      <c r="K34" s="150">
        <f>I34^4/F34</f>
        <v>1.2651984787347372E-5</v>
      </c>
      <c r="M34" s="223" t="s">
        <v>197</v>
      </c>
      <c r="N34" s="224" t="str">
        <f>P30</f>
        <v>ml/h</v>
      </c>
      <c r="O34" s="224" t="s">
        <v>183</v>
      </c>
      <c r="P34" s="239">
        <v>0.16</v>
      </c>
      <c r="Q34" s="239">
        <v>1.7320508075688772</v>
      </c>
      <c r="R34" s="224">
        <f t="shared" ref="R34:R35" si="5">0.5*(100/10)^2</f>
        <v>50</v>
      </c>
      <c r="S34" s="237">
        <f>P34/Q34</f>
        <v>9.2376043070340128E-2</v>
      </c>
      <c r="T34" s="224">
        <v>1</v>
      </c>
      <c r="U34" s="237">
        <f>S34*T34</f>
        <v>9.2376043070340128E-2</v>
      </c>
      <c r="V34" s="237">
        <f>U34^2</f>
        <v>8.5333333333333337E-3</v>
      </c>
      <c r="W34" s="240">
        <f>U34^4/R34</f>
        <v>1.4563555555555557E-6</v>
      </c>
    </row>
    <row r="35" spans="1:23" x14ac:dyDescent="0.2">
      <c r="A35" s="151" t="s">
        <v>198</v>
      </c>
      <c r="B35" s="134" t="str">
        <f>D30</f>
        <v>ml/h</v>
      </c>
      <c r="C35" s="143" t="s">
        <v>181</v>
      </c>
      <c r="D35" s="352">
        <f>'DB IDA'!K418</f>
        <v>0.57999999999999996</v>
      </c>
      <c r="E35" s="153">
        <v>2</v>
      </c>
      <c r="F35" s="134">
        <f t="shared" si="4"/>
        <v>50</v>
      </c>
      <c r="G35" s="146">
        <f>D35/E35</f>
        <v>0.28999999999999998</v>
      </c>
      <c r="H35" s="134">
        <v>1</v>
      </c>
      <c r="I35" s="146">
        <f>G35*H35</f>
        <v>0.28999999999999998</v>
      </c>
      <c r="J35" s="147">
        <f>I35^2</f>
        <v>8.4099999999999994E-2</v>
      </c>
      <c r="K35" s="150">
        <f>I35^4/F35</f>
        <v>1.4145619999999997E-4</v>
      </c>
      <c r="M35" s="241" t="s">
        <v>198</v>
      </c>
      <c r="N35" s="224" t="str">
        <f>P30</f>
        <v>ml/h</v>
      </c>
      <c r="O35" s="233" t="s">
        <v>181</v>
      </c>
      <c r="P35" s="242">
        <v>0.3</v>
      </c>
      <c r="Q35" s="243">
        <v>2</v>
      </c>
      <c r="R35" s="224">
        <f t="shared" si="5"/>
        <v>50</v>
      </c>
      <c r="S35" s="236">
        <f>P35/Q35</f>
        <v>0.15</v>
      </c>
      <c r="T35" s="224">
        <v>1</v>
      </c>
      <c r="U35" s="236">
        <f>S35*T35</f>
        <v>0.15</v>
      </c>
      <c r="V35" s="237">
        <f>U35^2</f>
        <v>2.2499999999999999E-2</v>
      </c>
      <c r="W35" s="240">
        <f>U35^4/R35</f>
        <v>1.0124999999999999E-5</v>
      </c>
    </row>
    <row r="36" spans="1:23" x14ac:dyDescent="0.2">
      <c r="A36" s="151"/>
      <c r="B36" s="134"/>
      <c r="C36" s="134"/>
      <c r="D36" s="134"/>
      <c r="E36" s="149"/>
      <c r="F36" s="134"/>
      <c r="G36" s="147"/>
      <c r="H36" s="134"/>
      <c r="I36" s="147"/>
      <c r="J36" s="147"/>
      <c r="K36" s="150"/>
      <c r="M36" s="241"/>
      <c r="N36" s="224"/>
      <c r="O36" s="224"/>
      <c r="P36" s="224"/>
      <c r="Q36" s="239"/>
      <c r="R36" s="224"/>
      <c r="S36" s="237"/>
      <c r="T36" s="224"/>
      <c r="U36" s="237"/>
      <c r="V36" s="237"/>
      <c r="W36" s="240"/>
    </row>
    <row r="37" spans="1:23" x14ac:dyDescent="0.2">
      <c r="A37" s="154" t="s">
        <v>186</v>
      </c>
      <c r="B37" s="155"/>
      <c r="C37" s="155"/>
      <c r="D37" s="155"/>
      <c r="E37" s="156"/>
      <c r="F37" s="155"/>
      <c r="G37" s="155"/>
      <c r="H37" s="155"/>
      <c r="I37" s="155"/>
      <c r="J37" s="157">
        <f>SUM(J32:J35)</f>
        <v>0.1101426366983865</v>
      </c>
      <c r="K37" s="158">
        <f>SUM(K32:K35)</f>
        <v>1.5412274133055722E-4</v>
      </c>
      <c r="M37" s="244" t="s">
        <v>186</v>
      </c>
      <c r="N37" s="245"/>
      <c r="O37" s="245"/>
      <c r="P37" s="245"/>
      <c r="Q37" s="246"/>
      <c r="R37" s="245"/>
      <c r="S37" s="245"/>
      <c r="T37" s="245"/>
      <c r="U37" s="245"/>
      <c r="V37" s="247">
        <f>SUM(V32:V35)</f>
        <v>0.1143666666666667</v>
      </c>
      <c r="W37" s="248">
        <f>SUM(W32:W35)</f>
        <v>1.5047024444444452E-4</v>
      </c>
    </row>
    <row r="38" spans="1:23" ht="15.75" x14ac:dyDescent="0.3">
      <c r="A38" s="159" t="s">
        <v>187</v>
      </c>
      <c r="B38" s="160"/>
      <c r="C38" s="160"/>
      <c r="D38" s="160"/>
      <c r="E38" s="161"/>
      <c r="F38" s="160"/>
      <c r="G38" s="162" t="s">
        <v>188</v>
      </c>
      <c r="H38" s="160"/>
      <c r="I38" s="160"/>
      <c r="J38" s="163">
        <f>SQRT(J37)</f>
        <v>0.33187744228613447</v>
      </c>
      <c r="K38" s="164"/>
      <c r="M38" s="249" t="s">
        <v>187</v>
      </c>
      <c r="N38" s="250"/>
      <c r="O38" s="250"/>
      <c r="P38" s="250"/>
      <c r="Q38" s="251"/>
      <c r="R38" s="250"/>
      <c r="S38" s="252" t="s">
        <v>189</v>
      </c>
      <c r="T38" s="250"/>
      <c r="U38" s="250"/>
      <c r="V38" s="253">
        <f>SQRT(V37)</f>
        <v>0.33818141088277859</v>
      </c>
      <c r="W38" s="254"/>
    </row>
    <row r="39" spans="1:23" ht="15.75" x14ac:dyDescent="0.3">
      <c r="A39" s="154" t="s">
        <v>190</v>
      </c>
      <c r="B39" s="155"/>
      <c r="C39" s="155"/>
      <c r="D39" s="155"/>
      <c r="E39" s="156"/>
      <c r="F39" s="155"/>
      <c r="G39" s="131" t="s">
        <v>191</v>
      </c>
      <c r="H39" s="155"/>
      <c r="I39" s="155"/>
      <c r="J39" s="157">
        <f>J38^4/(K37)</f>
        <v>78.712591757330244</v>
      </c>
      <c r="K39" s="165"/>
      <c r="M39" s="244" t="s">
        <v>190</v>
      </c>
      <c r="N39" s="245"/>
      <c r="O39" s="245"/>
      <c r="P39" s="245"/>
      <c r="Q39" s="246"/>
      <c r="R39" s="245"/>
      <c r="S39" s="216" t="s">
        <v>192</v>
      </c>
      <c r="T39" s="245"/>
      <c r="U39" s="245"/>
      <c r="V39" s="247">
        <f>V38^4/(W37)</f>
        <v>86.925720714660343</v>
      </c>
      <c r="W39" s="255"/>
    </row>
    <row r="40" spans="1:23" x14ac:dyDescent="0.2">
      <c r="A40" s="159" t="s">
        <v>193</v>
      </c>
      <c r="B40" s="160"/>
      <c r="C40" s="160"/>
      <c r="D40" s="160"/>
      <c r="E40" s="161"/>
      <c r="F40" s="160"/>
      <c r="G40" s="128" t="s">
        <v>194</v>
      </c>
      <c r="H40" s="160"/>
      <c r="I40" s="160"/>
      <c r="J40" s="163">
        <f>1.95996+(2.37356/J39)+(2.818745/J39^2)+(2.546662/J39^3)+(1.761829/J39^4)+(0.245458/J39^5)+(1.000764/J39^6)</f>
        <v>1.9905749905970669</v>
      </c>
      <c r="K40" s="164"/>
      <c r="M40" s="249" t="s">
        <v>193</v>
      </c>
      <c r="N40" s="250"/>
      <c r="O40" s="250"/>
      <c r="P40" s="250"/>
      <c r="Q40" s="251"/>
      <c r="R40" s="250"/>
      <c r="S40" s="213" t="s">
        <v>194</v>
      </c>
      <c r="T40" s="250"/>
      <c r="U40" s="250"/>
      <c r="V40" s="253">
        <f>1.95996+(2.37356/V39)+(2.818745/V39^2)+(2.546662/V39^3)+(1.761829/V39^4)+(0.245458/V39^5)+(1.000764/V39^6)</f>
        <v>1.9876425634047463</v>
      </c>
      <c r="W40" s="254"/>
    </row>
    <row r="41" spans="1:23" x14ac:dyDescent="0.2">
      <c r="A41" s="166" t="s">
        <v>195</v>
      </c>
      <c r="B41" s="167"/>
      <c r="C41" s="167"/>
      <c r="D41" s="167"/>
      <c r="E41" s="168"/>
      <c r="F41" s="167"/>
      <c r="G41" s="169" t="s">
        <v>196</v>
      </c>
      <c r="H41" s="167"/>
      <c r="I41" s="167"/>
      <c r="J41" s="199">
        <f>J38*J40</f>
        <v>0.66062693655810079</v>
      </c>
      <c r="K41" s="170" t="str">
        <f>D30</f>
        <v>ml/h</v>
      </c>
      <c r="M41" s="256" t="s">
        <v>195</v>
      </c>
      <c r="N41" s="257"/>
      <c r="O41" s="257"/>
      <c r="P41" s="257"/>
      <c r="Q41" s="258"/>
      <c r="R41" s="257"/>
      <c r="S41" s="259" t="s">
        <v>196</v>
      </c>
      <c r="T41" s="257"/>
      <c r="U41" s="257"/>
      <c r="V41" s="260">
        <f>V38*V40</f>
        <v>0.6721837664228798</v>
      </c>
      <c r="W41" s="261" t="str">
        <f>P30</f>
        <v>ml/h</v>
      </c>
    </row>
    <row r="42" spans="1:23" x14ac:dyDescent="0.2">
      <c r="A42" s="154"/>
      <c r="B42" s="155"/>
      <c r="C42" s="155"/>
      <c r="D42" s="155"/>
      <c r="E42" s="156"/>
      <c r="F42" s="155"/>
      <c r="G42" s="131"/>
      <c r="H42" s="155"/>
      <c r="I42" s="155"/>
      <c r="J42" s="202"/>
      <c r="K42" s="171"/>
      <c r="M42" s="244"/>
      <c r="N42" s="245"/>
      <c r="O42" s="245"/>
      <c r="P42" s="245"/>
      <c r="Q42" s="246"/>
      <c r="R42" s="245"/>
      <c r="S42" s="216"/>
      <c r="T42" s="245"/>
      <c r="U42" s="245"/>
      <c r="V42" s="282"/>
      <c r="W42" s="262"/>
    </row>
    <row r="43" spans="1:23" x14ac:dyDescent="0.2">
      <c r="A43" s="127" t="str">
        <f>A17</f>
        <v>Flowrate</v>
      </c>
      <c r="B43" s="128"/>
      <c r="C43" s="129">
        <f>'DB IDA'!A419</f>
        <v>500</v>
      </c>
      <c r="D43" s="130" t="str">
        <f>D17</f>
        <v>ml/h</v>
      </c>
      <c r="E43" s="131"/>
      <c r="F43" s="131"/>
      <c r="G43" s="131"/>
      <c r="H43" s="131"/>
      <c r="I43" s="131"/>
      <c r="J43" s="131"/>
      <c r="K43" s="132"/>
      <c r="M43" s="212" t="str">
        <f>M17</f>
        <v>Flow</v>
      </c>
      <c r="N43" s="213"/>
      <c r="O43" s="214">
        <f>C43</f>
        <v>500</v>
      </c>
      <c r="P43" s="215" t="str">
        <f>P17</f>
        <v>ml/h</v>
      </c>
      <c r="Q43" s="216"/>
      <c r="R43" s="216"/>
      <c r="S43" s="216"/>
      <c r="T43" s="216"/>
      <c r="U43" s="216"/>
      <c r="V43" s="216"/>
      <c r="W43" s="217"/>
    </row>
    <row r="44" spans="1:23" ht="17.25" x14ac:dyDescent="0.2">
      <c r="A44" s="276" t="s">
        <v>166</v>
      </c>
      <c r="B44" s="180" t="s">
        <v>167</v>
      </c>
      <c r="C44" s="181" t="s">
        <v>168</v>
      </c>
      <c r="D44" s="180" t="s">
        <v>169</v>
      </c>
      <c r="E44" s="182" t="s">
        <v>170</v>
      </c>
      <c r="F44" s="180" t="s">
        <v>171</v>
      </c>
      <c r="G44" s="181" t="s">
        <v>172</v>
      </c>
      <c r="H44" s="180" t="s">
        <v>173</v>
      </c>
      <c r="I44" s="181" t="s">
        <v>174</v>
      </c>
      <c r="J44" s="180" t="s">
        <v>175</v>
      </c>
      <c r="K44" s="277" t="s">
        <v>176</v>
      </c>
      <c r="M44" s="218" t="s">
        <v>166</v>
      </c>
      <c r="N44" s="219" t="s">
        <v>167</v>
      </c>
      <c r="O44" s="220" t="s">
        <v>168</v>
      </c>
      <c r="P44" s="219" t="s">
        <v>177</v>
      </c>
      <c r="Q44" s="221" t="s">
        <v>170</v>
      </c>
      <c r="R44" s="219" t="s">
        <v>171</v>
      </c>
      <c r="S44" s="220" t="s">
        <v>172</v>
      </c>
      <c r="T44" s="219" t="s">
        <v>173</v>
      </c>
      <c r="U44" s="220" t="s">
        <v>174</v>
      </c>
      <c r="V44" s="219" t="s">
        <v>178</v>
      </c>
      <c r="W44" s="222" t="s">
        <v>179</v>
      </c>
    </row>
    <row r="45" spans="1:23" x14ac:dyDescent="0.2">
      <c r="A45" s="133" t="s">
        <v>180</v>
      </c>
      <c r="B45" s="134" t="str">
        <f>D43</f>
        <v>ml/h</v>
      </c>
      <c r="C45" s="135" t="s">
        <v>181</v>
      </c>
      <c r="D45" s="349">
        <f>'DB IDA'!D419</f>
        <v>8.9442719099910237E-3</v>
      </c>
      <c r="E45" s="137">
        <f>SQRT(6)</f>
        <v>2.4494897427831779</v>
      </c>
      <c r="F45" s="134">
        <v>5</v>
      </c>
      <c r="G45" s="138">
        <f>D45/E45</f>
        <v>3.6514837166977867E-3</v>
      </c>
      <c r="H45" s="139">
        <v>1</v>
      </c>
      <c r="I45" s="138">
        <f>G45*H45</f>
        <v>3.6514837166977867E-3</v>
      </c>
      <c r="J45" s="140">
        <f>I45^2</f>
        <v>1.3333333333309083E-5</v>
      </c>
      <c r="K45" s="141">
        <f>I45^4/F45</f>
        <v>3.555555555542622E-11</v>
      </c>
      <c r="M45" s="223" t="s">
        <v>180</v>
      </c>
      <c r="N45" s="224" t="str">
        <f>P43</f>
        <v>ml/h</v>
      </c>
      <c r="O45" s="225" t="s">
        <v>181</v>
      </c>
      <c r="P45" s="226">
        <v>0</v>
      </c>
      <c r="Q45" s="227">
        <v>2.4494897427831779</v>
      </c>
      <c r="R45" s="224">
        <v>5</v>
      </c>
      <c r="S45" s="228">
        <f>P45/Q45</f>
        <v>0</v>
      </c>
      <c r="T45" s="229">
        <v>1</v>
      </c>
      <c r="U45" s="228">
        <f>S45*T45</f>
        <v>0</v>
      </c>
      <c r="V45" s="230">
        <f>U45^2</f>
        <v>0</v>
      </c>
      <c r="W45" s="231">
        <f>U45^4/R45</f>
        <v>0</v>
      </c>
    </row>
    <row r="46" spans="1:23" x14ac:dyDescent="0.2">
      <c r="A46" s="142" t="s">
        <v>182</v>
      </c>
      <c r="B46" s="134" t="str">
        <f>D43</f>
        <v>ml/h</v>
      </c>
      <c r="C46" s="143" t="s">
        <v>183</v>
      </c>
      <c r="D46" s="350">
        <f>'DB IDA'!L418</f>
        <v>0.05</v>
      </c>
      <c r="E46" s="145">
        <f>SQRT(3)</f>
        <v>1.7320508075688772</v>
      </c>
      <c r="F46" s="134">
        <f>0.5*(100/10)^2</f>
        <v>50</v>
      </c>
      <c r="G46" s="146">
        <f>D46/E46</f>
        <v>2.8867513459481291E-2</v>
      </c>
      <c r="H46" s="134">
        <v>1</v>
      </c>
      <c r="I46" s="146">
        <f>G46*H46</f>
        <v>2.8867513459481291E-2</v>
      </c>
      <c r="J46" s="147">
        <f>I46^2</f>
        <v>8.333333333333335E-4</v>
      </c>
      <c r="K46" s="148">
        <f>I46^4/F46</f>
        <v>1.3888888888888894E-8</v>
      </c>
      <c r="M46" s="232" t="s">
        <v>182</v>
      </c>
      <c r="N46" s="224" t="str">
        <f>P43</f>
        <v>ml/h</v>
      </c>
      <c r="O46" s="233" t="s">
        <v>183</v>
      </c>
      <c r="P46" s="234">
        <v>0.5</v>
      </c>
      <c r="Q46" s="235">
        <v>1.7320508075688772</v>
      </c>
      <c r="R46" s="224">
        <f>0.5*(100/10)^2</f>
        <v>50</v>
      </c>
      <c r="S46" s="236">
        <f>P46/Q46</f>
        <v>0.28867513459481292</v>
      </c>
      <c r="T46" s="224">
        <v>1</v>
      </c>
      <c r="U46" s="236">
        <f>S46*T46</f>
        <v>0.28867513459481292</v>
      </c>
      <c r="V46" s="237">
        <f>U46^2</f>
        <v>8.3333333333333356E-2</v>
      </c>
      <c r="W46" s="238">
        <f>U46^4/R46</f>
        <v>1.3888888888888897E-4</v>
      </c>
    </row>
    <row r="47" spans="1:23" x14ac:dyDescent="0.2">
      <c r="A47" s="133" t="s">
        <v>197</v>
      </c>
      <c r="B47" s="134" t="str">
        <f>D43</f>
        <v>ml/h</v>
      </c>
      <c r="C47" s="134" t="s">
        <v>183</v>
      </c>
      <c r="D47" s="351">
        <f>'DB IDA'!M419</f>
        <v>0.56949604074999427</v>
      </c>
      <c r="E47" s="149">
        <f>SQRT(3)</f>
        <v>1.7320508075688772</v>
      </c>
      <c r="F47" s="134">
        <f t="shared" ref="F47:F48" si="6">0.5*(100/10)^2</f>
        <v>50</v>
      </c>
      <c r="G47" s="147">
        <f>D47/E47</f>
        <v>0.32879869242943527</v>
      </c>
      <c r="H47" s="134">
        <v>1</v>
      </c>
      <c r="I47" s="147">
        <f>G47*H47</f>
        <v>0.32879869242943527</v>
      </c>
      <c r="J47" s="147">
        <f>I47^2</f>
        <v>0.10810858014330638</v>
      </c>
      <c r="K47" s="150">
        <f>I47^4/F47</f>
        <v>2.3374930201203395E-4</v>
      </c>
      <c r="M47" s="223" t="s">
        <v>197</v>
      </c>
      <c r="N47" s="224" t="str">
        <f>P43</f>
        <v>ml/h</v>
      </c>
      <c r="O47" s="224" t="s">
        <v>183</v>
      </c>
      <c r="P47" s="239">
        <v>0.02</v>
      </c>
      <c r="Q47" s="239">
        <v>1.7320508075688772</v>
      </c>
      <c r="R47" s="224">
        <f t="shared" ref="R47:R48" si="7">0.5*(100/10)^2</f>
        <v>50</v>
      </c>
      <c r="S47" s="237">
        <f>P47/Q47</f>
        <v>1.1547005383792516E-2</v>
      </c>
      <c r="T47" s="224">
        <v>1</v>
      </c>
      <c r="U47" s="237">
        <f>S47*T47</f>
        <v>1.1547005383792516E-2</v>
      </c>
      <c r="V47" s="237">
        <f>U47^2</f>
        <v>1.3333333333333334E-4</v>
      </c>
      <c r="W47" s="240">
        <f>U47^4/R47</f>
        <v>3.555555555555556E-10</v>
      </c>
    </row>
    <row r="48" spans="1:23" x14ac:dyDescent="0.2">
      <c r="A48" s="151" t="s">
        <v>198</v>
      </c>
      <c r="B48" s="134" t="str">
        <f>D43</f>
        <v>ml/h</v>
      </c>
      <c r="C48" s="143" t="s">
        <v>181</v>
      </c>
      <c r="D48" s="352">
        <f>'DB IDA'!K419</f>
        <v>0.57999999999999996</v>
      </c>
      <c r="E48" s="153">
        <v>2</v>
      </c>
      <c r="F48" s="134">
        <f t="shared" si="6"/>
        <v>50</v>
      </c>
      <c r="G48" s="146">
        <f>D48/E48</f>
        <v>0.28999999999999998</v>
      </c>
      <c r="H48" s="134">
        <v>1</v>
      </c>
      <c r="I48" s="146">
        <f>G48*H48</f>
        <v>0.28999999999999998</v>
      </c>
      <c r="J48" s="147">
        <f>I48^2</f>
        <v>8.4099999999999994E-2</v>
      </c>
      <c r="K48" s="150">
        <f>I48^4/F48</f>
        <v>1.4145619999999997E-4</v>
      </c>
      <c r="M48" s="241" t="s">
        <v>198</v>
      </c>
      <c r="N48" s="224" t="str">
        <f>P43</f>
        <v>ml/h</v>
      </c>
      <c r="O48" s="233" t="s">
        <v>181</v>
      </c>
      <c r="P48" s="242">
        <v>0.3</v>
      </c>
      <c r="Q48" s="243">
        <v>2</v>
      </c>
      <c r="R48" s="224">
        <f t="shared" si="7"/>
        <v>50</v>
      </c>
      <c r="S48" s="236">
        <f>P48/Q48</f>
        <v>0.15</v>
      </c>
      <c r="T48" s="224">
        <v>1</v>
      </c>
      <c r="U48" s="236">
        <f>S48*T48</f>
        <v>0.15</v>
      </c>
      <c r="V48" s="237">
        <f>U48^2</f>
        <v>2.2499999999999999E-2</v>
      </c>
      <c r="W48" s="240">
        <f>U48^4/R48</f>
        <v>1.0124999999999999E-5</v>
      </c>
    </row>
    <row r="49" spans="1:23" x14ac:dyDescent="0.2">
      <c r="A49" s="151"/>
      <c r="B49" s="134"/>
      <c r="C49" s="134"/>
      <c r="D49" s="134"/>
      <c r="E49" s="149"/>
      <c r="F49" s="134"/>
      <c r="G49" s="147"/>
      <c r="H49" s="134"/>
      <c r="I49" s="147"/>
      <c r="J49" s="147"/>
      <c r="K49" s="150"/>
      <c r="M49" s="241"/>
      <c r="N49" s="224"/>
      <c r="O49" s="224"/>
      <c r="P49" s="224"/>
      <c r="Q49" s="239"/>
      <c r="R49" s="224"/>
      <c r="S49" s="237"/>
      <c r="T49" s="224"/>
      <c r="U49" s="237"/>
      <c r="V49" s="237"/>
      <c r="W49" s="240"/>
    </row>
    <row r="50" spans="1:23" x14ac:dyDescent="0.2">
      <c r="A50" s="154" t="s">
        <v>186</v>
      </c>
      <c r="B50" s="155"/>
      <c r="C50" s="155"/>
      <c r="D50" s="155"/>
      <c r="E50" s="156"/>
      <c r="F50" s="155"/>
      <c r="G50" s="155"/>
      <c r="H50" s="155"/>
      <c r="I50" s="155"/>
      <c r="J50" s="157">
        <f>SUM(J45:J48)</f>
        <v>0.19305524680997302</v>
      </c>
      <c r="K50" s="158">
        <f>SUM(K45:K48)</f>
        <v>3.7521942645647841E-4</v>
      </c>
      <c r="M50" s="244" t="s">
        <v>186</v>
      </c>
      <c r="N50" s="245"/>
      <c r="O50" s="245"/>
      <c r="P50" s="245"/>
      <c r="Q50" s="246"/>
      <c r="R50" s="245"/>
      <c r="S50" s="245"/>
      <c r="T50" s="245"/>
      <c r="U50" s="245"/>
      <c r="V50" s="247">
        <f>SUM(V45:V48)</f>
        <v>0.10596666666666668</v>
      </c>
      <c r="W50" s="248">
        <f>SUM(W45:W48)</f>
        <v>1.4901424444444452E-4</v>
      </c>
    </row>
    <row r="51" spans="1:23" ht="15.75" x14ac:dyDescent="0.3">
      <c r="A51" s="159" t="s">
        <v>187</v>
      </c>
      <c r="B51" s="160"/>
      <c r="C51" s="160"/>
      <c r="D51" s="160"/>
      <c r="E51" s="161"/>
      <c r="F51" s="160"/>
      <c r="G51" s="162" t="s">
        <v>188</v>
      </c>
      <c r="H51" s="160"/>
      <c r="I51" s="160"/>
      <c r="J51" s="163">
        <f>SQRT(J50)</f>
        <v>0.43938052620703733</v>
      </c>
      <c r="K51" s="164"/>
      <c r="M51" s="249" t="s">
        <v>187</v>
      </c>
      <c r="N51" s="250"/>
      <c r="O51" s="250"/>
      <c r="P51" s="250"/>
      <c r="Q51" s="251"/>
      <c r="R51" s="250"/>
      <c r="S51" s="252" t="s">
        <v>189</v>
      </c>
      <c r="T51" s="250"/>
      <c r="U51" s="250"/>
      <c r="V51" s="253">
        <f>SQRT(V50)</f>
        <v>0.325525216637155</v>
      </c>
      <c r="W51" s="254"/>
    </row>
    <row r="52" spans="1:23" ht="15.75" x14ac:dyDescent="0.3">
      <c r="A52" s="154" t="s">
        <v>190</v>
      </c>
      <c r="B52" s="155"/>
      <c r="C52" s="155"/>
      <c r="D52" s="155"/>
      <c r="E52" s="156"/>
      <c r="F52" s="155"/>
      <c r="G52" s="131" t="s">
        <v>191</v>
      </c>
      <c r="H52" s="155"/>
      <c r="I52" s="155"/>
      <c r="J52" s="157">
        <f>J51^4/(K50)</f>
        <v>99.329420848050276</v>
      </c>
      <c r="K52" s="165"/>
      <c r="M52" s="244" t="s">
        <v>190</v>
      </c>
      <c r="N52" s="245"/>
      <c r="O52" s="245"/>
      <c r="P52" s="245"/>
      <c r="Q52" s="246"/>
      <c r="R52" s="245"/>
      <c r="S52" s="216" t="s">
        <v>192</v>
      </c>
      <c r="T52" s="245"/>
      <c r="U52" s="245"/>
      <c r="V52" s="247">
        <f>V51^4/(W50)</f>
        <v>75.354772198511682</v>
      </c>
      <c r="W52" s="255"/>
    </row>
    <row r="53" spans="1:23" x14ac:dyDescent="0.2">
      <c r="A53" s="159" t="s">
        <v>193</v>
      </c>
      <c r="B53" s="160"/>
      <c r="C53" s="160"/>
      <c r="D53" s="160"/>
      <c r="E53" s="161"/>
      <c r="F53" s="160"/>
      <c r="G53" s="128" t="s">
        <v>194</v>
      </c>
      <c r="H53" s="160"/>
      <c r="I53" s="160"/>
      <c r="J53" s="163">
        <f>1.95996+(2.37356/J52)+(2.818745/J52^2)+(2.546662/J52^3)+(1.761829/J52^4)+(0.245458/J52^5)+(1.000764/J52^6)</f>
        <v>1.9841441504909021</v>
      </c>
      <c r="K53" s="164"/>
      <c r="M53" s="249" t="s">
        <v>193</v>
      </c>
      <c r="N53" s="250"/>
      <c r="O53" s="250"/>
      <c r="P53" s="250"/>
      <c r="Q53" s="251"/>
      <c r="R53" s="250"/>
      <c r="S53" s="213" t="s">
        <v>194</v>
      </c>
      <c r="T53" s="250"/>
      <c r="U53" s="250"/>
      <c r="V53" s="253">
        <f>1.95996+(2.37356/V52)+(2.818745/V52^2)+(2.546662/V52^3)+(1.761829/V52^4)+(0.245458/V52^5)+(1.000764/V52^6)</f>
        <v>1.9919608788529002</v>
      </c>
      <c r="W53" s="254"/>
    </row>
    <row r="54" spans="1:23" x14ac:dyDescent="0.2">
      <c r="A54" s="166" t="s">
        <v>195</v>
      </c>
      <c r="B54" s="167"/>
      <c r="C54" s="167"/>
      <c r="D54" s="167"/>
      <c r="E54" s="168"/>
      <c r="F54" s="167"/>
      <c r="G54" s="169" t="s">
        <v>196</v>
      </c>
      <c r="H54" s="167"/>
      <c r="I54" s="167"/>
      <c r="J54" s="199">
        <f>J51*J53</f>
        <v>0.87179430091330756</v>
      </c>
      <c r="K54" s="170" t="str">
        <f>D43</f>
        <v>ml/h</v>
      </c>
      <c r="M54" s="256" t="s">
        <v>195</v>
      </c>
      <c r="N54" s="257"/>
      <c r="O54" s="257"/>
      <c r="P54" s="257"/>
      <c r="Q54" s="258"/>
      <c r="R54" s="257"/>
      <c r="S54" s="259" t="s">
        <v>196</v>
      </c>
      <c r="T54" s="257"/>
      <c r="U54" s="257"/>
      <c r="V54" s="260">
        <f>V51*V53</f>
        <v>0.64843349662132799</v>
      </c>
      <c r="W54" s="261" t="str">
        <f>P43</f>
        <v>ml/h</v>
      </c>
    </row>
    <row r="55" spans="1:23" ht="13.5" thickBot="1" x14ac:dyDescent="0.25">
      <c r="A55" s="172"/>
      <c r="B55" s="173"/>
      <c r="C55" s="173"/>
      <c r="D55" s="173"/>
      <c r="E55" s="173"/>
      <c r="F55" s="173"/>
      <c r="G55" s="173"/>
      <c r="H55" s="173"/>
      <c r="I55" s="173"/>
      <c r="J55" s="203"/>
      <c r="K55" s="174"/>
      <c r="M55" s="283"/>
      <c r="N55" s="284"/>
      <c r="O55" s="284"/>
      <c r="P55" s="284"/>
      <c r="Q55" s="284"/>
      <c r="R55" s="284"/>
      <c r="S55" s="284"/>
      <c r="T55" s="284"/>
      <c r="U55" s="284"/>
      <c r="V55" s="284"/>
      <c r="W55" s="285"/>
    </row>
    <row r="56" spans="1:23" hidden="1" x14ac:dyDescent="0.2">
      <c r="A56" s="127" t="str">
        <f>ID!C41</f>
        <v>Occlusion (PSI)</v>
      </c>
      <c r="B56" s="128"/>
      <c r="C56" s="129" t="e">
        <f>'DB IDA'!#REF!</f>
        <v>#REF!</v>
      </c>
      <c r="D56" s="130" t="s">
        <v>199</v>
      </c>
      <c r="E56" s="131"/>
      <c r="F56" s="131"/>
      <c r="G56" s="131"/>
      <c r="H56" s="131"/>
      <c r="I56" s="131"/>
      <c r="J56" s="131"/>
      <c r="K56" s="132"/>
      <c r="M56" s="278" t="str">
        <f>A56</f>
        <v>Occlusion (PSI)</v>
      </c>
      <c r="N56" s="259"/>
      <c r="O56" s="279" t="e">
        <f>C56</f>
        <v>#REF!</v>
      </c>
      <c r="P56" s="280" t="s">
        <v>199</v>
      </c>
      <c r="Q56" s="216"/>
      <c r="R56" s="216"/>
      <c r="S56" s="216"/>
      <c r="T56" s="216"/>
      <c r="U56" s="216"/>
      <c r="V56" s="216"/>
      <c r="W56" s="217"/>
    </row>
    <row r="57" spans="1:23" ht="17.25" hidden="1" x14ac:dyDescent="0.2">
      <c r="A57" s="179" t="s">
        <v>166</v>
      </c>
      <c r="B57" s="180" t="s">
        <v>167</v>
      </c>
      <c r="C57" s="181" t="s">
        <v>168</v>
      </c>
      <c r="D57" s="180" t="s">
        <v>169</v>
      </c>
      <c r="E57" s="182" t="s">
        <v>170</v>
      </c>
      <c r="F57" s="180" t="s">
        <v>171</v>
      </c>
      <c r="G57" s="181" t="s">
        <v>172</v>
      </c>
      <c r="H57" s="180" t="s">
        <v>173</v>
      </c>
      <c r="I57" s="181" t="s">
        <v>174</v>
      </c>
      <c r="J57" s="180" t="s">
        <v>175</v>
      </c>
      <c r="K57" s="183" t="s">
        <v>176</v>
      </c>
      <c r="M57" s="218" t="s">
        <v>166</v>
      </c>
      <c r="N57" s="219" t="s">
        <v>167</v>
      </c>
      <c r="O57" s="220" t="s">
        <v>168</v>
      </c>
      <c r="P57" s="219" t="s">
        <v>177</v>
      </c>
      <c r="Q57" s="221" t="s">
        <v>170</v>
      </c>
      <c r="R57" s="219" t="s">
        <v>171</v>
      </c>
      <c r="S57" s="220" t="s">
        <v>172</v>
      </c>
      <c r="T57" s="219" t="s">
        <v>173</v>
      </c>
      <c r="U57" s="220" t="s">
        <v>174</v>
      </c>
      <c r="V57" s="219" t="s">
        <v>178</v>
      </c>
      <c r="W57" s="222" t="s">
        <v>179</v>
      </c>
    </row>
    <row r="58" spans="1:23" hidden="1" x14ac:dyDescent="0.2">
      <c r="A58" s="133" t="s">
        <v>180</v>
      </c>
      <c r="B58" s="134" t="str">
        <f>D56</f>
        <v>Psi</v>
      </c>
      <c r="C58" s="135" t="s">
        <v>181</v>
      </c>
      <c r="D58" s="136" t="e">
        <f>'DB IDA'!#REF!</f>
        <v>#REF!</v>
      </c>
      <c r="E58" s="137">
        <f>SQRT(6)</f>
        <v>2.4494897427831779</v>
      </c>
      <c r="F58" s="134">
        <v>5</v>
      </c>
      <c r="G58" s="138" t="e">
        <f>D58/E58</f>
        <v>#REF!</v>
      </c>
      <c r="H58" s="139">
        <v>1</v>
      </c>
      <c r="I58" s="138" t="e">
        <f>G58*H58</f>
        <v>#REF!</v>
      </c>
      <c r="J58" s="140" t="e">
        <f>I58^2</f>
        <v>#REF!</v>
      </c>
      <c r="K58" s="141" t="e">
        <f>I58^4/F58</f>
        <v>#REF!</v>
      </c>
      <c r="M58" s="223" t="s">
        <v>180</v>
      </c>
      <c r="N58" s="224" t="str">
        <f>P56</f>
        <v>Psi</v>
      </c>
      <c r="O58" s="225" t="s">
        <v>181</v>
      </c>
      <c r="P58" s="226">
        <v>0</v>
      </c>
      <c r="Q58" s="227">
        <v>2.4494897427831779</v>
      </c>
      <c r="R58" s="224">
        <v>5</v>
      </c>
      <c r="S58" s="228">
        <f>P58/Q58</f>
        <v>0</v>
      </c>
      <c r="T58" s="229">
        <v>1</v>
      </c>
      <c r="U58" s="228">
        <f>S58*T58</f>
        <v>0</v>
      </c>
      <c r="V58" s="230">
        <f>U58^2</f>
        <v>0</v>
      </c>
      <c r="W58" s="231">
        <f>U58^4/R58</f>
        <v>0</v>
      </c>
    </row>
    <row r="59" spans="1:23" hidden="1" x14ac:dyDescent="0.2">
      <c r="A59" s="142" t="s">
        <v>182</v>
      </c>
      <c r="B59" s="134" t="str">
        <f>D56</f>
        <v>Psi</v>
      </c>
      <c r="C59" s="143" t="s">
        <v>183</v>
      </c>
      <c r="D59" s="144" t="e">
        <f>'DB IDA'!#REF!</f>
        <v>#REF!</v>
      </c>
      <c r="E59" s="145">
        <f>SQRT(3)</f>
        <v>1.7320508075688772</v>
      </c>
      <c r="F59" s="134">
        <f>0.5*(100/10)^2</f>
        <v>50</v>
      </c>
      <c r="G59" s="146" t="e">
        <f>D59/E59</f>
        <v>#REF!</v>
      </c>
      <c r="H59" s="134">
        <v>1</v>
      </c>
      <c r="I59" s="146" t="e">
        <f>G59*H59</f>
        <v>#REF!</v>
      </c>
      <c r="J59" s="147" t="e">
        <f>I59^2</f>
        <v>#REF!</v>
      </c>
      <c r="K59" s="148" t="e">
        <f>I59^4/F59</f>
        <v>#REF!</v>
      </c>
      <c r="M59" s="232" t="s">
        <v>182</v>
      </c>
      <c r="N59" s="224" t="str">
        <f>P56</f>
        <v>Psi</v>
      </c>
      <c r="O59" s="233" t="s">
        <v>183</v>
      </c>
      <c r="P59" s="234">
        <v>0.5</v>
      </c>
      <c r="Q59" s="235">
        <v>1.7320508075688772</v>
      </c>
      <c r="R59" s="224">
        <f>0.5*(100/10)^2</f>
        <v>50</v>
      </c>
      <c r="S59" s="236">
        <f>P59/Q59</f>
        <v>0.28867513459481292</v>
      </c>
      <c r="T59" s="224">
        <v>1</v>
      </c>
      <c r="U59" s="236">
        <f>S59*T59</f>
        <v>0.28867513459481292</v>
      </c>
      <c r="V59" s="237">
        <f>U59^2</f>
        <v>8.3333333333333356E-2</v>
      </c>
      <c r="W59" s="238">
        <f>U59^4/R59</f>
        <v>1.3888888888888897E-4</v>
      </c>
    </row>
    <row r="60" spans="1:23" hidden="1" x14ac:dyDescent="0.2">
      <c r="A60" s="133" t="s">
        <v>184</v>
      </c>
      <c r="B60" s="134" t="str">
        <f>D56</f>
        <v>Psi</v>
      </c>
      <c r="C60" s="134" t="s">
        <v>183</v>
      </c>
      <c r="D60" s="149" t="e">
        <f>'DB IDA'!#REF!</f>
        <v>#REF!</v>
      </c>
      <c r="E60" s="149">
        <f>SQRT(3)</f>
        <v>1.7320508075688772</v>
      </c>
      <c r="F60" s="134">
        <f t="shared" ref="F60:F61" si="8">0.5*(100/10)^2</f>
        <v>50</v>
      </c>
      <c r="G60" s="147" t="e">
        <f>D60/E60</f>
        <v>#REF!</v>
      </c>
      <c r="H60" s="134">
        <v>1</v>
      </c>
      <c r="I60" s="147" t="e">
        <f>G60*H60</f>
        <v>#REF!</v>
      </c>
      <c r="J60" s="147" t="e">
        <f>I60^2</f>
        <v>#REF!</v>
      </c>
      <c r="K60" s="150" t="e">
        <f>I60^4/F60</f>
        <v>#REF!</v>
      </c>
      <c r="M60" s="223" t="s">
        <v>184</v>
      </c>
      <c r="N60" s="224" t="str">
        <f>P56</f>
        <v>Psi</v>
      </c>
      <c r="O60" s="224" t="s">
        <v>183</v>
      </c>
      <c r="P60" s="239">
        <v>3.5000000000000003E-2</v>
      </c>
      <c r="Q60" s="239">
        <v>1.7320508075688772</v>
      </c>
      <c r="R60" s="224">
        <f t="shared" ref="R60:R61" si="9">0.5*(100/10)^2</f>
        <v>50</v>
      </c>
      <c r="S60" s="237">
        <f>P60/Q60</f>
        <v>2.0207259421636904E-2</v>
      </c>
      <c r="T60" s="224">
        <v>1</v>
      </c>
      <c r="U60" s="237">
        <f>S60*T60</f>
        <v>2.0207259421636904E-2</v>
      </c>
      <c r="V60" s="237">
        <f>U60^2</f>
        <v>4.0833333333333341E-4</v>
      </c>
      <c r="W60" s="240">
        <f>U60^4/R60</f>
        <v>3.3347222222222238E-9</v>
      </c>
    </row>
    <row r="61" spans="1:23" hidden="1" x14ac:dyDescent="0.2">
      <c r="A61" s="151" t="s">
        <v>185</v>
      </c>
      <c r="B61" s="134" t="str">
        <f>D56</f>
        <v>Psi</v>
      </c>
      <c r="C61" s="143" t="s">
        <v>181</v>
      </c>
      <c r="D61" s="152" t="e">
        <f>'DB IDA'!#REF!</f>
        <v>#REF!</v>
      </c>
      <c r="E61" s="153">
        <v>2</v>
      </c>
      <c r="F61" s="134">
        <f t="shared" si="8"/>
        <v>50</v>
      </c>
      <c r="G61" s="146" t="e">
        <f>D61/E61</f>
        <v>#REF!</v>
      </c>
      <c r="H61" s="134">
        <v>1</v>
      </c>
      <c r="I61" s="146" t="e">
        <f>G61*H61</f>
        <v>#REF!</v>
      </c>
      <c r="J61" s="147" t="e">
        <f>I61^2</f>
        <v>#REF!</v>
      </c>
      <c r="K61" s="150" t="e">
        <f>I61^4/F61</f>
        <v>#REF!</v>
      </c>
      <c r="M61" s="241" t="s">
        <v>185</v>
      </c>
      <c r="N61" s="224" t="str">
        <f>P56</f>
        <v>Psi</v>
      </c>
      <c r="O61" s="233" t="s">
        <v>181</v>
      </c>
      <c r="P61" s="242">
        <v>0.02</v>
      </c>
      <c r="Q61" s="243">
        <v>2</v>
      </c>
      <c r="R61" s="224">
        <f t="shared" si="9"/>
        <v>50</v>
      </c>
      <c r="S61" s="236">
        <f>P61/Q61</f>
        <v>0.01</v>
      </c>
      <c r="T61" s="224">
        <v>1</v>
      </c>
      <c r="U61" s="236">
        <f>S61*T61</f>
        <v>0.01</v>
      </c>
      <c r="V61" s="237">
        <f>U61^2</f>
        <v>1E-4</v>
      </c>
      <c r="W61" s="240">
        <f>U61^4/R61</f>
        <v>2.0000000000000001E-10</v>
      </c>
    </row>
    <row r="62" spans="1:23" hidden="1" x14ac:dyDescent="0.2">
      <c r="A62" s="151"/>
      <c r="B62" s="134"/>
      <c r="C62" s="134"/>
      <c r="D62" s="134"/>
      <c r="E62" s="149"/>
      <c r="F62" s="134"/>
      <c r="G62" s="147"/>
      <c r="H62" s="134"/>
      <c r="I62" s="147"/>
      <c r="J62" s="147"/>
      <c r="K62" s="150"/>
      <c r="M62" s="241"/>
      <c r="N62" s="224"/>
      <c r="O62" s="224"/>
      <c r="P62" s="224"/>
      <c r="Q62" s="239"/>
      <c r="R62" s="224"/>
      <c r="S62" s="237"/>
      <c r="T62" s="224"/>
      <c r="U62" s="237"/>
      <c r="V62" s="237"/>
      <c r="W62" s="240"/>
    </row>
    <row r="63" spans="1:23" hidden="1" x14ac:dyDescent="0.2">
      <c r="A63" s="154" t="s">
        <v>186</v>
      </c>
      <c r="B63" s="155"/>
      <c r="C63" s="155"/>
      <c r="D63" s="155"/>
      <c r="E63" s="156"/>
      <c r="F63" s="155"/>
      <c r="G63" s="155"/>
      <c r="H63" s="155"/>
      <c r="I63" s="155"/>
      <c r="J63" s="157" t="e">
        <f>SUM(J58:J61)</f>
        <v>#REF!</v>
      </c>
      <c r="K63" s="158" t="e">
        <f>SUM(K58:K61)</f>
        <v>#REF!</v>
      </c>
      <c r="M63" s="244" t="s">
        <v>186</v>
      </c>
      <c r="N63" s="245"/>
      <c r="O63" s="245"/>
      <c r="P63" s="245"/>
      <c r="Q63" s="246"/>
      <c r="R63" s="245"/>
      <c r="S63" s="245"/>
      <c r="T63" s="245"/>
      <c r="U63" s="245"/>
      <c r="V63" s="247">
        <f>SUM(V58:V61)</f>
        <v>8.3841666666666689E-2</v>
      </c>
      <c r="W63" s="248">
        <f>SUM(W58:W61)</f>
        <v>1.3889242361111117E-4</v>
      </c>
    </row>
    <row r="64" spans="1:23" ht="15.75" hidden="1" x14ac:dyDescent="0.3">
      <c r="A64" s="159" t="s">
        <v>187</v>
      </c>
      <c r="B64" s="160"/>
      <c r="C64" s="160"/>
      <c r="D64" s="160"/>
      <c r="E64" s="161"/>
      <c r="F64" s="160"/>
      <c r="G64" s="162" t="s">
        <v>188</v>
      </c>
      <c r="H64" s="160"/>
      <c r="I64" s="160"/>
      <c r="J64" s="163" t="e">
        <f>SQRT(J63)</f>
        <v>#REF!</v>
      </c>
      <c r="K64" s="164"/>
      <c r="M64" s="249" t="s">
        <v>187</v>
      </c>
      <c r="N64" s="250"/>
      <c r="O64" s="250"/>
      <c r="P64" s="250"/>
      <c r="Q64" s="251"/>
      <c r="R64" s="250"/>
      <c r="S64" s="252" t="s">
        <v>189</v>
      </c>
      <c r="T64" s="250"/>
      <c r="U64" s="250"/>
      <c r="V64" s="253">
        <f>SQRT(V63)</f>
        <v>0.28955425513479627</v>
      </c>
      <c r="W64" s="254"/>
    </row>
    <row r="65" spans="1:23" ht="15.75" hidden="1" x14ac:dyDescent="0.3">
      <c r="A65" s="154" t="s">
        <v>190</v>
      </c>
      <c r="B65" s="155"/>
      <c r="C65" s="155"/>
      <c r="D65" s="155"/>
      <c r="E65" s="156"/>
      <c r="F65" s="155"/>
      <c r="G65" s="131" t="s">
        <v>191</v>
      </c>
      <c r="H65" s="155"/>
      <c r="I65" s="155"/>
      <c r="J65" s="157" t="e">
        <f>J64^4/(K63)</f>
        <v>#REF!</v>
      </c>
      <c r="K65" s="165"/>
      <c r="M65" s="244" t="s">
        <v>190</v>
      </c>
      <c r="N65" s="245"/>
      <c r="O65" s="245"/>
      <c r="P65" s="245"/>
      <c r="Q65" s="246"/>
      <c r="R65" s="245"/>
      <c r="S65" s="216" t="s">
        <v>192</v>
      </c>
      <c r="T65" s="245"/>
      <c r="U65" s="245"/>
      <c r="V65" s="247">
        <f>V64^4/(W63)</f>
        <v>50.610572460930875</v>
      </c>
      <c r="W65" s="255"/>
    </row>
    <row r="66" spans="1:23" hidden="1" x14ac:dyDescent="0.2">
      <c r="A66" s="159" t="s">
        <v>193</v>
      </c>
      <c r="B66" s="160"/>
      <c r="C66" s="160"/>
      <c r="D66" s="160"/>
      <c r="E66" s="161"/>
      <c r="F66" s="160"/>
      <c r="G66" s="128" t="s">
        <v>194</v>
      </c>
      <c r="H66" s="160"/>
      <c r="I66" s="160"/>
      <c r="J66" s="163" t="e">
        <f>1.95996+(2.37356/J65)+(2.818745/J65^2)+(2.546662/J65^3)+(1.761829/J65^4)+(0.245458/J65^5)+(1.000764/J65^6)</f>
        <v>#REF!</v>
      </c>
      <c r="K66" s="164"/>
      <c r="M66" s="249" t="s">
        <v>193</v>
      </c>
      <c r="N66" s="250"/>
      <c r="O66" s="250"/>
      <c r="P66" s="250"/>
      <c r="Q66" s="251"/>
      <c r="R66" s="250"/>
      <c r="S66" s="213" t="s">
        <v>194</v>
      </c>
      <c r="T66" s="250"/>
      <c r="U66" s="250"/>
      <c r="V66" s="253">
        <f>1.95996+(2.37356/V65)+(2.818745/V65^2)+(2.546662/V65^3)+(1.761829/V65^4)+(0.245458/V65^5)+(1.000764/V65^6)</f>
        <v>2.0079788730002588</v>
      </c>
      <c r="W66" s="254"/>
    </row>
    <row r="67" spans="1:23" ht="13.5" hidden="1" thickBot="1" x14ac:dyDescent="0.25">
      <c r="A67" s="166" t="s">
        <v>195</v>
      </c>
      <c r="B67" s="167"/>
      <c r="C67" s="167"/>
      <c r="D67" s="167"/>
      <c r="E67" s="168"/>
      <c r="F67" s="167"/>
      <c r="G67" s="169" t="s">
        <v>196</v>
      </c>
      <c r="H67" s="167"/>
      <c r="I67" s="167"/>
      <c r="J67" s="199" t="e">
        <f>J64*J66</f>
        <v>#REF!</v>
      </c>
      <c r="K67" s="170" t="str">
        <f>D56</f>
        <v>Psi</v>
      </c>
      <c r="M67" s="263" t="s">
        <v>195</v>
      </c>
      <c r="N67" s="264"/>
      <c r="O67" s="264"/>
      <c r="P67" s="264"/>
      <c r="Q67" s="265"/>
      <c r="R67" s="264"/>
      <c r="S67" s="266" t="s">
        <v>196</v>
      </c>
      <c r="T67" s="264"/>
      <c r="U67" s="264"/>
      <c r="V67" s="267">
        <f>V64*V66</f>
        <v>0.58141882689799762</v>
      </c>
      <c r="W67" s="268" t="str">
        <f>P56</f>
        <v>Psi</v>
      </c>
    </row>
    <row r="68" spans="1:23" ht="13.5" hidden="1" thickBot="1" x14ac:dyDescent="0.25">
      <c r="A68" s="172"/>
      <c r="B68" s="173"/>
      <c r="C68" s="173"/>
      <c r="D68" s="173"/>
      <c r="E68" s="173"/>
      <c r="F68" s="173"/>
      <c r="G68" s="173"/>
      <c r="H68" s="173"/>
      <c r="I68" s="173"/>
      <c r="J68" s="203"/>
      <c r="K68" s="174"/>
    </row>
    <row r="69" spans="1:23" hidden="1" x14ac:dyDescent="0.2"/>
  </sheetData>
  <mergeCells count="2">
    <mergeCell ref="A1:K2"/>
    <mergeCell ref="M1:W2"/>
  </mergeCells>
  <printOptions horizontalCentered="1"/>
  <pageMargins left="0.511811023622047" right="0.23622047244094499" top="0.78740157480314998" bottom="0.511811023622047" header="0.23622047244094499" footer="0.23622047244094499"/>
  <pageSetup paperSize="9" scale="89" orientation="portrait" horizontalDpi="4294967294" verticalDpi="4294967294" r:id="rId1"/>
  <headerFooter>
    <oddHeader xml:space="preserve">&amp;R&amp;"-,Regular"&amp;8FV.027-18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F202"/>
  <sheetViews>
    <sheetView showGridLines="0" view="pageBreakPreview" topLeftCell="A34" zoomScale="90" zoomScaleNormal="90" zoomScaleSheetLayoutView="90" zoomScalePageLayoutView="90" workbookViewId="0">
      <selection activeCell="G60" sqref="G60"/>
    </sheetView>
  </sheetViews>
  <sheetFormatPr defaultColWidth="9.140625" defaultRowHeight="14.25" x14ac:dyDescent="0.2"/>
  <cols>
    <col min="1" max="1" width="4" style="63" customWidth="1"/>
    <col min="2" max="2" width="5.140625" style="63" customWidth="1"/>
    <col min="3" max="3" width="17.42578125" style="63" customWidth="1"/>
    <col min="4" max="4" width="2.28515625" style="63" customWidth="1"/>
    <col min="5" max="5" width="10.140625" style="63" customWidth="1"/>
    <col min="6" max="6" width="12.140625" style="63" customWidth="1"/>
    <col min="7" max="7" width="9.28515625" style="63" customWidth="1"/>
    <col min="8" max="8" width="11" style="63" customWidth="1"/>
    <col min="9" max="9" width="8.140625" style="63" customWidth="1"/>
    <col min="10" max="10" width="9.42578125" style="63" customWidth="1"/>
    <col min="11" max="11" width="6.85546875" style="63" customWidth="1"/>
    <col min="12" max="12" width="7.42578125" style="63" customWidth="1"/>
    <col min="13" max="13" width="9.5703125" style="63" customWidth="1"/>
    <col min="14" max="15" width="7" style="63" customWidth="1"/>
    <col min="16" max="16" width="10.42578125" style="63" customWidth="1"/>
    <col min="17" max="17" width="11.5703125" style="63" customWidth="1"/>
    <col min="18" max="18" width="11" style="63" customWidth="1"/>
    <col min="19" max="19" width="9.140625" style="63"/>
    <col min="20" max="20" width="10.140625" style="63" customWidth="1"/>
    <col min="21" max="16384" width="9.140625" style="63"/>
  </cols>
  <sheetData>
    <row r="1" spans="1:20" ht="18" x14ac:dyDescent="0.2">
      <c r="A1" s="1104" t="s">
        <v>200</v>
      </c>
      <c r="B1" s="1104"/>
      <c r="C1" s="1104"/>
      <c r="D1" s="1104"/>
      <c r="E1" s="1104"/>
      <c r="F1" s="1104"/>
      <c r="G1" s="1104"/>
      <c r="H1" s="1104"/>
      <c r="I1" s="1104"/>
      <c r="J1" s="1104"/>
      <c r="K1" s="1104"/>
      <c r="L1" s="1104"/>
      <c r="M1" s="1104"/>
      <c r="N1" s="1104"/>
      <c r="O1" s="470"/>
      <c r="P1" s="74"/>
      <c r="Q1" s="74"/>
    </row>
    <row r="2" spans="1:20" ht="15" x14ac:dyDescent="0.2">
      <c r="A2" s="1103" t="str">
        <f>ID!F2&amp;ID!I2</f>
        <v>Nomor Sertifikat : 29 / 9 / III - 22 / E - 000.01 DL</v>
      </c>
      <c r="B2" s="1103"/>
      <c r="C2" s="1103"/>
      <c r="D2" s="1103"/>
      <c r="E2" s="1103"/>
      <c r="F2" s="1103"/>
      <c r="G2" s="1103"/>
      <c r="H2" s="1103"/>
      <c r="I2" s="1103"/>
      <c r="J2" s="1103"/>
      <c r="K2" s="1103"/>
      <c r="L2" s="1103"/>
      <c r="M2" s="1103"/>
      <c r="N2" s="1103"/>
      <c r="O2" s="410"/>
    </row>
    <row r="3" spans="1:20" ht="14.25" customHeight="1" x14ac:dyDescent="0.2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353"/>
      <c r="M3" s="353"/>
      <c r="N3" s="26"/>
      <c r="O3" s="26"/>
    </row>
    <row r="4" spans="1:20" x14ac:dyDescent="0.2">
      <c r="A4" s="26" t="str">
        <f>ID!A4</f>
        <v>Merek</v>
      </c>
      <c r="B4" s="26"/>
      <c r="C4" s="26"/>
      <c r="D4" s="27" t="str">
        <f>ID!D4</f>
        <v>:</v>
      </c>
      <c r="E4" s="17" t="str">
        <f>ID!E4</f>
        <v>Bbraun</v>
      </c>
      <c r="F4" s="17"/>
      <c r="G4" s="17"/>
      <c r="H4" s="26"/>
      <c r="I4" s="26"/>
      <c r="J4" s="26"/>
      <c r="K4" s="26"/>
      <c r="L4" s="353"/>
      <c r="M4" s="353"/>
      <c r="N4" s="26"/>
      <c r="O4" s="26"/>
    </row>
    <row r="5" spans="1:20" x14ac:dyDescent="0.2">
      <c r="A5" s="26" t="str">
        <f>ID!A5</f>
        <v>Model/Tipe</v>
      </c>
      <c r="B5" s="26"/>
      <c r="C5" s="26"/>
      <c r="D5" s="27" t="str">
        <f>ID!D5</f>
        <v>:</v>
      </c>
      <c r="E5" s="17" t="str">
        <f>ID!E5</f>
        <v>B</v>
      </c>
      <c r="F5" s="17"/>
      <c r="G5" s="17"/>
      <c r="H5" s="26"/>
      <c r="I5" s="26"/>
      <c r="J5" s="26"/>
      <c r="K5" s="26"/>
      <c r="L5" s="353"/>
      <c r="M5" s="353"/>
      <c r="N5" s="26"/>
      <c r="O5" s="26"/>
    </row>
    <row r="6" spans="1:20" x14ac:dyDescent="0.2">
      <c r="A6" s="26" t="str">
        <f>ID!A6</f>
        <v>No. Seri</v>
      </c>
      <c r="B6" s="26"/>
      <c r="C6" s="26"/>
      <c r="D6" s="27" t="str">
        <f>ID!D6</f>
        <v>:</v>
      </c>
      <c r="E6" s="1182" t="str">
        <f>ID!E6</f>
        <v>C</v>
      </c>
      <c r="F6" s="1182"/>
      <c r="G6" s="1182"/>
      <c r="H6" s="26"/>
      <c r="I6" s="26"/>
      <c r="J6" s="26"/>
      <c r="K6" s="26"/>
      <c r="L6" s="353"/>
      <c r="M6" s="353"/>
      <c r="N6" s="26"/>
      <c r="O6" s="26"/>
    </row>
    <row r="7" spans="1:20" x14ac:dyDescent="0.2">
      <c r="A7" s="26" t="str">
        <f>ID!A7</f>
        <v>Resolusi</v>
      </c>
      <c r="B7" s="26"/>
      <c r="C7" s="26" t="str">
        <f>ID!C7</f>
        <v>(10 - 50) mL/h</v>
      </c>
      <c r="D7" s="27" t="str">
        <f>ID!D7</f>
        <v>:</v>
      </c>
      <c r="E7" s="411">
        <f>ID!E7</f>
        <v>0.01</v>
      </c>
      <c r="F7" s="358" t="s">
        <v>8</v>
      </c>
      <c r="G7" s="17"/>
      <c r="H7" s="26"/>
      <c r="I7" s="26"/>
      <c r="J7" s="26"/>
      <c r="K7" s="26"/>
      <c r="L7" s="353"/>
      <c r="M7" s="353"/>
      <c r="N7" s="26"/>
      <c r="O7" s="26"/>
    </row>
    <row r="8" spans="1:20" x14ac:dyDescent="0.2">
      <c r="A8" s="26"/>
      <c r="B8" s="26"/>
      <c r="C8" s="26" t="str">
        <f>ID!C8</f>
        <v>(100 - 500) mL/h</v>
      </c>
      <c r="D8" s="27" t="str">
        <f>ID!D8</f>
        <v>:</v>
      </c>
      <c r="E8" s="17">
        <f>ID!E8</f>
        <v>0.1</v>
      </c>
      <c r="F8" s="358" t="s">
        <v>8</v>
      </c>
      <c r="G8" s="17"/>
      <c r="H8" s="26"/>
      <c r="I8" s="26"/>
      <c r="J8" s="26"/>
      <c r="K8" s="26"/>
      <c r="L8" s="353"/>
      <c r="M8" s="353"/>
      <c r="N8" s="26"/>
      <c r="O8" s="26"/>
    </row>
    <row r="9" spans="1:20" x14ac:dyDescent="0.2">
      <c r="A9" s="26" t="str">
        <f>ID!A9</f>
        <v>Tanggal Penerimaan Alat</v>
      </c>
      <c r="B9" s="26"/>
      <c r="C9" s="26"/>
      <c r="D9" s="27" t="str">
        <f>ID!D9</f>
        <v>:</v>
      </c>
      <c r="E9" s="1189">
        <f>ID!E9</f>
        <v>44483</v>
      </c>
      <c r="F9" s="1189"/>
      <c r="G9" s="354"/>
      <c r="H9" s="26"/>
      <c r="I9" s="26"/>
      <c r="J9" s="26"/>
      <c r="K9" s="26"/>
      <c r="L9" s="353"/>
      <c r="M9" s="353"/>
      <c r="N9" s="26"/>
      <c r="O9" s="26"/>
    </row>
    <row r="10" spans="1:20" x14ac:dyDescent="0.2">
      <c r="A10" s="26" t="str">
        <f>ID!A10</f>
        <v>Tanggal Kalibrasi</v>
      </c>
      <c r="B10" s="26"/>
      <c r="C10" s="26"/>
      <c r="D10" s="27" t="str">
        <f>ID!D10</f>
        <v>:</v>
      </c>
      <c r="E10" s="1189">
        <f>ID!E10</f>
        <v>44483</v>
      </c>
      <c r="F10" s="1189"/>
      <c r="G10" s="17"/>
      <c r="H10" s="26"/>
      <c r="I10" s="26"/>
      <c r="J10" s="26"/>
      <c r="K10" s="26"/>
      <c r="L10" s="353"/>
      <c r="M10" s="353"/>
      <c r="N10" s="26"/>
      <c r="O10" s="26"/>
    </row>
    <row r="11" spans="1:20" x14ac:dyDescent="0.2">
      <c r="A11" s="26" t="str">
        <f>ID!A11</f>
        <v>Tempat Kalibrasi</v>
      </c>
      <c r="B11" s="26"/>
      <c r="C11" s="26"/>
      <c r="D11" s="27" t="str">
        <f>ID!D11</f>
        <v>:</v>
      </c>
      <c r="E11" s="17" t="str">
        <f>ID!E11</f>
        <v>D</v>
      </c>
      <c r="F11" s="17"/>
      <c r="G11" s="17"/>
      <c r="H11" s="26"/>
      <c r="I11" s="26"/>
      <c r="J11" s="26"/>
      <c r="K11" s="26"/>
      <c r="L11" s="353"/>
      <c r="M11" s="353"/>
      <c r="N11" s="26"/>
      <c r="O11" s="26"/>
    </row>
    <row r="12" spans="1:20" x14ac:dyDescent="0.2">
      <c r="A12" s="26" t="str">
        <f>ID!A12</f>
        <v>Nama Ruang</v>
      </c>
      <c r="B12" s="26"/>
      <c r="C12" s="26"/>
      <c r="D12" s="27" t="str">
        <f>ID!D12</f>
        <v>:</v>
      </c>
      <c r="E12" s="17" t="str">
        <f>ID!E12</f>
        <v>E</v>
      </c>
      <c r="F12" s="17"/>
      <c r="G12" s="17"/>
      <c r="H12" s="26"/>
      <c r="I12" s="26"/>
      <c r="J12" s="26"/>
      <c r="K12" s="26"/>
      <c r="L12" s="353"/>
      <c r="M12" s="353"/>
      <c r="N12" s="26"/>
      <c r="O12" s="26"/>
    </row>
    <row r="13" spans="1:20" x14ac:dyDescent="0.2">
      <c r="A13" s="26" t="s">
        <v>129</v>
      </c>
      <c r="B13" s="26"/>
      <c r="C13" s="26"/>
      <c r="D13" s="27" t="s">
        <v>11</v>
      </c>
      <c r="E13" s="26" t="str">
        <f>ID!E13</f>
        <v>MK 027-18</v>
      </c>
      <c r="F13" s="26"/>
      <c r="G13" s="26"/>
      <c r="H13" s="26"/>
      <c r="I13" s="26"/>
      <c r="J13" s="26"/>
      <c r="K13" s="26"/>
      <c r="L13" s="353"/>
      <c r="M13" s="353"/>
      <c r="N13" s="26"/>
      <c r="O13" s="26"/>
    </row>
    <row r="14" spans="1:20" ht="14.25" customHeight="1" x14ac:dyDescent="0.2">
      <c r="A14" s="26"/>
      <c r="B14" s="26"/>
      <c r="C14" s="26"/>
      <c r="D14" s="27"/>
      <c r="E14" s="26"/>
      <c r="F14" s="26"/>
      <c r="G14" s="26"/>
      <c r="H14" s="26"/>
      <c r="I14" s="26"/>
      <c r="J14" s="26"/>
      <c r="K14" s="26"/>
      <c r="L14" s="353"/>
      <c r="M14" s="353"/>
      <c r="N14" s="26"/>
      <c r="O14" s="26"/>
    </row>
    <row r="15" spans="1:20" ht="15" x14ac:dyDescent="0.2">
      <c r="A15" s="355" t="str">
        <f>ID!A15</f>
        <v>I.</v>
      </c>
      <c r="B15" s="355" t="str">
        <f>ID!B15</f>
        <v>Kondisi Ruang</v>
      </c>
      <c r="C15" s="355"/>
      <c r="D15" s="356"/>
      <c r="E15" s="355"/>
      <c r="F15" s="355"/>
      <c r="G15" s="355"/>
      <c r="H15" s="355"/>
      <c r="I15" s="355"/>
      <c r="J15" s="355"/>
      <c r="K15" s="355"/>
      <c r="L15" s="357"/>
      <c r="M15" s="357"/>
      <c r="N15" s="355"/>
      <c r="O15" s="355"/>
    </row>
    <row r="16" spans="1:20" x14ac:dyDescent="0.2">
      <c r="A16" s="26"/>
      <c r="B16" s="26" t="str">
        <f>ID!B17</f>
        <v>1. Suhu</v>
      </c>
      <c r="C16" s="26"/>
      <c r="D16" s="27" t="s">
        <v>11</v>
      </c>
      <c r="E16" s="412">
        <f>'DB Thermohygro'!U377</f>
        <v>21.388990011098777</v>
      </c>
      <c r="F16" s="412" t="s">
        <v>328</v>
      </c>
      <c r="G16" s="87">
        <f>'DB Thermohygro'!W377</f>
        <v>0.5</v>
      </c>
      <c r="H16" s="114" t="s">
        <v>321</v>
      </c>
      <c r="I16" s="26"/>
      <c r="J16" s="26"/>
      <c r="K16" s="26"/>
      <c r="L16" s="353"/>
      <c r="M16" s="353" t="s">
        <v>201</v>
      </c>
      <c r="N16" s="26"/>
      <c r="O16" s="26"/>
      <c r="T16" s="123" t="s">
        <v>202</v>
      </c>
    </row>
    <row r="17" spans="1:32" x14ac:dyDescent="0.2">
      <c r="A17" s="26"/>
      <c r="B17" s="26" t="str">
        <f>ID!B18</f>
        <v>2. Kelembaban</v>
      </c>
      <c r="C17" s="26"/>
      <c r="D17" s="27" t="s">
        <v>11</v>
      </c>
      <c r="E17" s="412">
        <f>'DB Thermohygro'!U378</f>
        <v>68.956999999999994</v>
      </c>
      <c r="F17" s="412" t="s">
        <v>328</v>
      </c>
      <c r="G17" s="412">
        <f>'DB Thermohygro'!W378</f>
        <v>2.2999999999999998</v>
      </c>
      <c r="H17" s="85" t="s">
        <v>323</v>
      </c>
      <c r="I17" s="26"/>
      <c r="J17" s="26"/>
      <c r="K17" s="26"/>
      <c r="L17" s="353"/>
      <c r="M17" s="353"/>
      <c r="N17" s="26"/>
      <c r="O17" s="26"/>
    </row>
    <row r="18" spans="1:32" x14ac:dyDescent="0.2">
      <c r="A18" s="26"/>
      <c r="B18" s="26" t="str">
        <f>ID!B19</f>
        <v>3. Tegangan Jala - jala</v>
      </c>
      <c r="C18" s="26"/>
      <c r="D18" s="27" t="s">
        <v>11</v>
      </c>
      <c r="E18" s="412" t="str">
        <f>'DB Kelistrikan'!H266</f>
        <v>219.6</v>
      </c>
      <c r="F18" s="412" t="s">
        <v>328</v>
      </c>
      <c r="G18" s="412" t="str">
        <f>'DB Kelistrikan'!I266</f>
        <v>2.6</v>
      </c>
      <c r="H18" s="85" t="s">
        <v>373</v>
      </c>
      <c r="I18" s="26"/>
      <c r="J18" s="26"/>
      <c r="K18" s="26"/>
      <c r="L18" s="353"/>
      <c r="M18" s="353"/>
      <c r="N18" s="26"/>
      <c r="O18" s="26"/>
    </row>
    <row r="19" spans="1:32" ht="14.25" customHeight="1" x14ac:dyDescent="0.2">
      <c r="A19" s="26"/>
      <c r="B19" s="26"/>
      <c r="C19" s="26"/>
      <c r="D19" s="27"/>
      <c r="E19" s="26"/>
      <c r="F19" s="359"/>
      <c r="G19" s="26"/>
      <c r="H19" s="26"/>
      <c r="I19" s="26"/>
      <c r="J19" s="26"/>
      <c r="K19" s="26"/>
      <c r="L19" s="353"/>
      <c r="M19" s="353"/>
      <c r="N19" s="26"/>
      <c r="O19" s="26"/>
    </row>
    <row r="20" spans="1:32" ht="24" x14ac:dyDescent="0.2">
      <c r="A20" s="355" t="str">
        <f>ID!A21</f>
        <v>II.</v>
      </c>
      <c r="B20" s="355" t="str">
        <f>ID!B21</f>
        <v>Pemeriksaan Kondisi Fisik dan Fungsi Alat</v>
      </c>
      <c r="C20" s="355"/>
      <c r="D20" s="355"/>
      <c r="E20" s="355"/>
      <c r="F20" s="355"/>
      <c r="G20" s="355"/>
      <c r="H20" s="355"/>
      <c r="I20" s="355"/>
      <c r="J20" s="355"/>
      <c r="K20" s="355"/>
      <c r="L20" s="353"/>
      <c r="M20" s="353"/>
      <c r="N20" s="360" t="s">
        <v>25</v>
      </c>
      <c r="O20" s="487"/>
    </row>
    <row r="21" spans="1:32" x14ac:dyDescent="0.2">
      <c r="A21" s="26"/>
      <c r="B21" s="26" t="str">
        <f>ID!B22</f>
        <v>1. Fisik</v>
      </c>
      <c r="C21" s="26"/>
      <c r="D21" s="27" t="s">
        <v>11</v>
      </c>
      <c r="E21" s="26" t="str">
        <f>ID!E22</f>
        <v>Baik</v>
      </c>
      <c r="F21" s="26"/>
      <c r="G21" s="26"/>
      <c r="H21" s="26"/>
      <c r="I21" s="26"/>
      <c r="J21" s="26"/>
      <c r="K21" s="26"/>
      <c r="L21" s="353"/>
      <c r="M21" s="353"/>
      <c r="N21" s="522">
        <f>IF(E21="baik",5,IF(E21="Tidak Baik",0))</f>
        <v>5</v>
      </c>
      <c r="O21" s="488"/>
    </row>
    <row r="22" spans="1:32" x14ac:dyDescent="0.2">
      <c r="A22" s="26"/>
      <c r="B22" s="26" t="str">
        <f>ID!B23</f>
        <v>2. Fungsi</v>
      </c>
      <c r="C22" s="26"/>
      <c r="D22" s="27" t="s">
        <v>11</v>
      </c>
      <c r="E22" s="26" t="str">
        <f>ID!E23</f>
        <v>Baik</v>
      </c>
      <c r="F22" s="26"/>
      <c r="G22" s="26"/>
      <c r="H22" s="26"/>
      <c r="I22" s="26"/>
      <c r="J22" s="26"/>
      <c r="K22" s="26"/>
      <c r="L22" s="353"/>
      <c r="M22" s="353"/>
      <c r="N22" s="522">
        <f>IF(E22="baik",5,IF(E22="Tidak Baik",0))</f>
        <v>5</v>
      </c>
      <c r="O22" s="488"/>
    </row>
    <row r="23" spans="1:32" ht="14.25" customHeight="1" x14ac:dyDescent="0.2">
      <c r="A23" s="26"/>
      <c r="B23" s="355"/>
      <c r="C23" s="355"/>
      <c r="D23" s="355"/>
      <c r="E23" s="26"/>
      <c r="F23" s="26"/>
      <c r="G23" s="26"/>
      <c r="H23" s="26"/>
      <c r="I23" s="26"/>
      <c r="J23" s="26"/>
      <c r="K23" s="26"/>
      <c r="L23" s="353"/>
      <c r="M23" s="353"/>
      <c r="N23" s="361"/>
      <c r="O23" s="361"/>
      <c r="Q23" s="1149" t="str">
        <f>IF(J28="-",T31,ID!Q26)</f>
        <v>G</v>
      </c>
      <c r="R23" s="1149"/>
      <c r="S23" s="1142" t="s">
        <v>43</v>
      </c>
      <c r="T23" s="1142" t="s">
        <v>203</v>
      </c>
      <c r="U23" s="1142" t="s">
        <v>50</v>
      </c>
      <c r="V23" s="26"/>
      <c r="W23" s="1113" t="str">
        <f>IF(OR(J28="-",Q23=T31),W24,IF(OR(T25&gt;U25,C28=W32),"",IF(J28&gt;L28,W25,"")))</f>
        <v>Alat tidak boleh digunakan pada instalasi tanpa dilengkapi grounding</v>
      </c>
      <c r="X23" s="1113"/>
      <c r="Y23" s="1113"/>
      <c r="Z23" s="1113"/>
      <c r="AA23" s="1113"/>
      <c r="AB23" s="1113"/>
      <c r="AC23" s="1113"/>
      <c r="AD23" s="1113"/>
      <c r="AE23" s="1113"/>
      <c r="AF23" s="26"/>
    </row>
    <row r="24" spans="1:32" ht="16.5" x14ac:dyDescent="0.2">
      <c r="A24" s="355" t="str">
        <f>ID!A25</f>
        <v>III.</v>
      </c>
      <c r="B24" s="355" t="str">
        <f>ID!B25</f>
        <v>Hasil Pengujian Keselamatan Listrik</v>
      </c>
      <c r="C24" s="355"/>
      <c r="D24" s="355"/>
      <c r="E24" s="26"/>
      <c r="F24" s="26"/>
      <c r="G24" s="26"/>
      <c r="H24" s="362"/>
      <c r="I24" s="26"/>
      <c r="J24" s="26"/>
      <c r="K24" s="26"/>
      <c r="L24" s="353"/>
      <c r="M24" s="353"/>
      <c r="N24" s="361"/>
      <c r="O24" s="361"/>
      <c r="Q24" s="1149"/>
      <c r="R24" s="1149"/>
      <c r="S24" s="1142"/>
      <c r="T24" s="1142"/>
      <c r="U24" s="1142"/>
      <c r="V24" s="26"/>
      <c r="W24" s="1143" t="s">
        <v>204</v>
      </c>
      <c r="X24" s="1143"/>
      <c r="Y24" s="1143"/>
      <c r="Z24" s="1143"/>
      <c r="AA24" s="1143"/>
      <c r="AB24" s="1143"/>
      <c r="AC24" s="1143"/>
      <c r="AD24" s="1143"/>
      <c r="AE24" s="1143"/>
      <c r="AF24" s="26"/>
    </row>
    <row r="25" spans="1:32" ht="34.5" customHeight="1" x14ac:dyDescent="0.2">
      <c r="A25" s="26"/>
      <c r="B25" s="363" t="s">
        <v>33</v>
      </c>
      <c r="C25" s="1139" t="s">
        <v>34</v>
      </c>
      <c r="D25" s="1140"/>
      <c r="E25" s="1140"/>
      <c r="F25" s="1140"/>
      <c r="G25" s="1140"/>
      <c r="H25" s="1140"/>
      <c r="I25" s="1141"/>
      <c r="J25" s="1140" t="s">
        <v>35</v>
      </c>
      <c r="K25" s="1141"/>
      <c r="L25" s="1139" t="s">
        <v>36</v>
      </c>
      <c r="M25" s="1141"/>
      <c r="N25" s="360" t="s">
        <v>25</v>
      </c>
      <c r="O25" s="487"/>
      <c r="Q25" s="472" t="s">
        <v>141</v>
      </c>
      <c r="R25" s="42" t="s">
        <v>142</v>
      </c>
      <c r="S25" s="513">
        <f>ID!S28</f>
        <v>10</v>
      </c>
      <c r="T25" s="473">
        <f>'DB Kelistrikan'!O272</f>
        <v>10.384615903846154</v>
      </c>
      <c r="U25" s="474">
        <v>100</v>
      </c>
      <c r="V25" s="26"/>
      <c r="W25" s="1143" t="s">
        <v>205</v>
      </c>
      <c r="X25" s="1143"/>
      <c r="Y25" s="1143"/>
      <c r="Z25" s="1143"/>
      <c r="AA25" s="1143"/>
      <c r="AB25" s="1143"/>
      <c r="AC25" s="1143"/>
      <c r="AD25" s="1143"/>
      <c r="AE25" s="1143"/>
      <c r="AF25" s="26"/>
    </row>
    <row r="26" spans="1:32" ht="16.5" customHeight="1" x14ac:dyDescent="0.2">
      <c r="A26" s="26"/>
      <c r="B26" s="30">
        <v>1</v>
      </c>
      <c r="C26" s="364" t="str">
        <f>ID!C27</f>
        <v>Resistansi Isolasi</v>
      </c>
      <c r="D26" s="365"/>
      <c r="E26" s="365"/>
      <c r="F26" s="365"/>
      <c r="G26" s="366"/>
      <c r="H26" s="366"/>
      <c r="I26" s="367"/>
      <c r="J26" s="505" t="str">
        <f>'DB Kelistrikan'!M269</f>
        <v>OL</v>
      </c>
      <c r="K26" s="514" t="str">
        <f>IF(J26="-","","MΩ")</f>
        <v>MΩ</v>
      </c>
      <c r="L26" s="928">
        <f>ID!L27</f>
        <v>2</v>
      </c>
      <c r="M26" s="929" t="str">
        <f>ID!K27</f>
        <v>MΩ</v>
      </c>
      <c r="N26" s="1191">
        <f>IF(OR(J28="-",O28=20),SUM(O26:O28),SUM(O26:O27))</f>
        <v>40</v>
      </c>
      <c r="O26" s="491">
        <f>IF(OR(J26="-",J26="OL",J26&gt;L26),10,0)</f>
        <v>10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</row>
    <row r="27" spans="1:32" x14ac:dyDescent="0.2">
      <c r="A27" s="26"/>
      <c r="B27" s="317">
        <f>ID!B28</f>
        <v>2</v>
      </c>
      <c r="C27" s="368" t="str">
        <f>ID!C28</f>
        <v>Resistansi Pembumian Protektif (kabel dapat dilepas)</v>
      </c>
      <c r="D27" s="369"/>
      <c r="E27" s="369"/>
      <c r="F27" s="369"/>
      <c r="G27" s="369"/>
      <c r="H27" s="369"/>
      <c r="I27" s="370"/>
      <c r="J27" s="506">
        <f>'DB Kelistrikan'!M270</f>
        <v>0.12</v>
      </c>
      <c r="K27" s="515" t="str">
        <f>IF(J27="-","","Ω")</f>
        <v>Ω</v>
      </c>
      <c r="L27" s="933">
        <f>ID!L28</f>
        <v>0.2</v>
      </c>
      <c r="M27" s="932" t="s">
        <v>40</v>
      </c>
      <c r="N27" s="1192"/>
      <c r="O27" s="491">
        <f>IF(OR(J27="-",J27="OL",J27&lt;=L27,C28=W29),10,0)</f>
        <v>10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</row>
    <row r="28" spans="1:32" ht="15" x14ac:dyDescent="0.2">
      <c r="A28" s="26"/>
      <c r="B28" s="94">
        <f>ID!B29</f>
        <v>3</v>
      </c>
      <c r="C28" s="371" t="str">
        <f>ID!C29</f>
        <v>Arus bocor peralatan untuk peralatan elektromedik kelas I</v>
      </c>
      <c r="D28" s="372"/>
      <c r="E28" s="372"/>
      <c r="F28" s="372"/>
      <c r="G28" s="372"/>
      <c r="H28" s="372"/>
      <c r="I28" s="373"/>
      <c r="J28" s="653">
        <f>'DB Kelistrikan'!M271</f>
        <v>555</v>
      </c>
      <c r="K28" s="516" t="str">
        <f>IF(J28="-","","µA")</f>
        <v>µA</v>
      </c>
      <c r="L28" s="935">
        <f>ID!L29</f>
        <v>500</v>
      </c>
      <c r="M28" s="934" t="s">
        <v>43</v>
      </c>
      <c r="N28" s="1193"/>
      <c r="O28" s="491">
        <f>IF(Q31&lt;=R31,20,0)</f>
        <v>20</v>
      </c>
      <c r="Q28" s="26"/>
      <c r="R28" s="26"/>
      <c r="S28" s="26"/>
      <c r="T28" s="26"/>
      <c r="U28" s="26"/>
      <c r="V28" s="26"/>
      <c r="W28" s="1144" t="s">
        <v>39</v>
      </c>
      <c r="X28" s="1145"/>
      <c r="Y28" s="1145"/>
      <c r="Z28" s="1145"/>
      <c r="AA28" s="1145"/>
      <c r="AB28" s="1145"/>
      <c r="AC28" s="1146"/>
      <c r="AD28" s="26"/>
      <c r="AE28" s="26"/>
      <c r="AF28" s="26"/>
    </row>
    <row r="29" spans="1:32" ht="14.25" customHeight="1" x14ac:dyDescent="0.2">
      <c r="A29" s="26"/>
      <c r="B29" s="355"/>
      <c r="C29" s="355"/>
      <c r="D29" s="355"/>
      <c r="E29" s="26"/>
      <c r="F29" s="26"/>
      <c r="G29" s="26"/>
      <c r="H29" s="26"/>
      <c r="I29" s="26"/>
      <c r="J29" s="26"/>
      <c r="K29" s="26"/>
      <c r="L29" s="353"/>
      <c r="M29" s="353"/>
      <c r="N29" s="361"/>
      <c r="O29" s="361"/>
      <c r="Q29" s="1142" t="s">
        <v>206</v>
      </c>
      <c r="R29" s="1147" t="s">
        <v>50</v>
      </c>
      <c r="S29" s="26"/>
      <c r="T29" s="472" t="s">
        <v>207</v>
      </c>
      <c r="U29" s="26"/>
      <c r="V29" s="403">
        <f>IF(C27=PENYELIA!W29,PENYELIA!AC29,PENYELIA!AC30)</f>
        <v>0.2</v>
      </c>
      <c r="W29" s="475" t="s">
        <v>140</v>
      </c>
      <c r="X29" s="476"/>
      <c r="Y29" s="476"/>
      <c r="Z29" s="476"/>
      <c r="AA29" s="476"/>
      <c r="AB29" s="477"/>
      <c r="AC29" s="938">
        <v>0.2</v>
      </c>
      <c r="AD29" s="26" t="s">
        <v>208</v>
      </c>
      <c r="AE29" s="478"/>
      <c r="AF29" s="26"/>
    </row>
    <row r="30" spans="1:32" ht="15" x14ac:dyDescent="0.2">
      <c r="A30" s="355" t="str">
        <f>ID!A31</f>
        <v>IV.</v>
      </c>
      <c r="B30" s="355" t="str">
        <f>ID!B31</f>
        <v>Hasil Pengukuran Kinerja</v>
      </c>
      <c r="C30" s="355"/>
      <c r="D30" s="355"/>
      <c r="E30" s="355"/>
      <c r="F30" s="355"/>
      <c r="G30" s="355"/>
      <c r="H30" s="27"/>
      <c r="I30" s="26"/>
      <c r="J30" s="26"/>
      <c r="K30" s="26"/>
      <c r="L30" s="353"/>
      <c r="M30" s="353"/>
      <c r="N30" s="361"/>
      <c r="O30" s="361"/>
      <c r="Q30" s="1142"/>
      <c r="R30" s="1148"/>
      <c r="S30" s="26"/>
      <c r="T30" s="472" t="s">
        <v>137</v>
      </c>
      <c r="U30" s="26"/>
      <c r="V30" s="26"/>
      <c r="W30" s="479" t="s">
        <v>209</v>
      </c>
      <c r="X30" s="480"/>
      <c r="Y30" s="480"/>
      <c r="Z30" s="480"/>
      <c r="AA30" s="480"/>
      <c r="AB30" s="481"/>
      <c r="AC30" s="938">
        <v>0.3</v>
      </c>
      <c r="AD30" s="26" t="s">
        <v>210</v>
      </c>
      <c r="AE30" s="478"/>
      <c r="AF30" s="478"/>
    </row>
    <row r="31" spans="1:32" ht="27.75" customHeight="1" x14ac:dyDescent="0.2">
      <c r="A31" s="26"/>
      <c r="B31" s="1114" t="s">
        <v>47</v>
      </c>
      <c r="C31" s="1114" t="s">
        <v>34</v>
      </c>
      <c r="D31" s="1185" t="s">
        <v>48</v>
      </c>
      <c r="E31" s="1186"/>
      <c r="F31" s="1114" t="s">
        <v>211</v>
      </c>
      <c r="G31" s="1183" t="s">
        <v>147</v>
      </c>
      <c r="H31" s="1114" t="s">
        <v>50</v>
      </c>
      <c r="I31" s="1185" t="s">
        <v>212</v>
      </c>
      <c r="J31" s="1186"/>
      <c r="K31" s="26"/>
      <c r="L31" s="26"/>
      <c r="M31" s="1167" t="s">
        <v>213</v>
      </c>
      <c r="N31" s="1190" t="s">
        <v>25</v>
      </c>
      <c r="O31" s="487"/>
      <c r="Q31" s="473">
        <f>IF(OR(S25="",C28=W32,Q23=T31),J28,IF(J28&gt;L28,T25,J28))</f>
        <v>10.384615903846154</v>
      </c>
      <c r="R31" s="472">
        <f>IF(OR(S25="",C28=W32,Q23=T31),L28,IF(J28&gt;L28,U25,L28))</f>
        <v>100</v>
      </c>
      <c r="S31" s="26"/>
      <c r="T31" s="472" t="s">
        <v>214</v>
      </c>
      <c r="U31" s="26"/>
      <c r="V31" s="940">
        <f>IF(C28=PENYELIA!W31,PENYELIA!AC31,PENYELIA!AC32)</f>
        <v>500</v>
      </c>
      <c r="W31" s="482" t="s">
        <v>143</v>
      </c>
      <c r="X31" s="483"/>
      <c r="Y31" s="483"/>
      <c r="Z31" s="483"/>
      <c r="AA31" s="483"/>
      <c r="AB31" s="481"/>
      <c r="AC31" s="939">
        <v>500</v>
      </c>
      <c r="AD31" s="478"/>
      <c r="AE31" s="478"/>
      <c r="AF31" s="478"/>
    </row>
    <row r="32" spans="1:32" ht="21" customHeight="1" x14ac:dyDescent="0.2">
      <c r="A32" s="26"/>
      <c r="B32" s="1115"/>
      <c r="C32" s="1115"/>
      <c r="D32" s="1187"/>
      <c r="E32" s="1188"/>
      <c r="F32" s="1115"/>
      <c r="G32" s="1184"/>
      <c r="H32" s="1115"/>
      <c r="I32" s="1187"/>
      <c r="J32" s="1188"/>
      <c r="K32" s="26"/>
      <c r="L32" s="26"/>
      <c r="M32" s="1167"/>
      <c r="N32" s="1190"/>
      <c r="O32" s="487"/>
      <c r="Q32" s="26"/>
      <c r="R32" s="26"/>
      <c r="S32" s="26"/>
      <c r="T32" s="26"/>
      <c r="U32" s="26"/>
      <c r="V32" s="26"/>
      <c r="W32" s="482" t="s">
        <v>215</v>
      </c>
      <c r="X32" s="483"/>
      <c r="Y32" s="483"/>
      <c r="Z32" s="483"/>
      <c r="AA32" s="483"/>
      <c r="AB32" s="481"/>
      <c r="AC32" s="939">
        <v>100</v>
      </c>
      <c r="AD32" s="478"/>
      <c r="AE32" s="478"/>
      <c r="AF32" s="478"/>
    </row>
    <row r="33" spans="1:24" ht="35.1" customHeight="1" thickBot="1" x14ac:dyDescent="0.25">
      <c r="A33" s="26"/>
      <c r="B33" s="30">
        <v>1</v>
      </c>
      <c r="C33" s="1150" t="str">
        <f>ID!C34</f>
        <v>Flowrate (ml/h)</v>
      </c>
      <c r="D33" s="1154" t="str">
        <f>'DB IDA'!J547</f>
        <v>10.00</v>
      </c>
      <c r="E33" s="1154"/>
      <c r="F33" s="374">
        <f>'DB IDA'!C416</f>
        <v>9.6265400000000003</v>
      </c>
      <c r="G33" s="375">
        <f>'DB IDA'!G416</f>
        <v>-0.37345999999999968</v>
      </c>
      <c r="H33" s="1170">
        <f>LH!H34</f>
        <v>10</v>
      </c>
      <c r="I33" s="517" t="s">
        <v>216</v>
      </c>
      <c r="J33" s="650" t="str">
        <f>IF('DB IDA'!U416&lt;"0.25",0.25,'DB IDA'!U416)</f>
        <v>0.63</v>
      </c>
      <c r="K33" s="26"/>
      <c r="L33" s="26"/>
      <c r="M33" s="375">
        <f>'DB IDA'!J416</f>
        <v>10.017309473466682</v>
      </c>
      <c r="N33" s="375">
        <f>IF(M33&lt;=H33,6.25,0)</f>
        <v>0</v>
      </c>
      <c r="O33" s="489">
        <f>SUM(N33:N36)</f>
        <v>18.75</v>
      </c>
      <c r="Q33" s="290"/>
      <c r="S33" s="178"/>
      <c r="T33" s="178"/>
      <c r="U33" s="178"/>
      <c r="V33" s="178"/>
      <c r="W33" s="178"/>
      <c r="X33" s="178"/>
    </row>
    <row r="34" spans="1:24" ht="35.1" customHeight="1" thickBot="1" x14ac:dyDescent="0.25">
      <c r="A34" s="26"/>
      <c r="B34" s="36">
        <v>2</v>
      </c>
      <c r="C34" s="1151"/>
      <c r="D34" s="1155" t="str">
        <f>'DB IDA'!K547</f>
        <v>50.00</v>
      </c>
      <c r="E34" s="1155"/>
      <c r="F34" s="376">
        <f>'DB IDA'!C417</f>
        <v>49.686439999999997</v>
      </c>
      <c r="G34" s="377">
        <f>'DB IDA'!G417</f>
        <v>-0.3135600000000025</v>
      </c>
      <c r="H34" s="1171"/>
      <c r="I34" s="518" t="s">
        <v>216</v>
      </c>
      <c r="J34" s="889" t="str">
        <f>IF('DB IDA'!U417&lt;"0.25",0.25,'DB IDA'!U417)</f>
        <v>0.64</v>
      </c>
      <c r="K34" s="26"/>
      <c r="L34" s="26"/>
      <c r="M34" s="375">
        <f>'DB IDA'!J417</f>
        <v>1.9134258921474738</v>
      </c>
      <c r="N34" s="375">
        <f>IF(M34&lt;=H33,6.25,0)</f>
        <v>6.25</v>
      </c>
      <c r="O34" s="489"/>
      <c r="Q34" s="1168" t="str">
        <f>[1]SCORING!A5</f>
        <v>KESIMPULAN PENGUKURAN KINERJA</v>
      </c>
      <c r="R34" s="1169"/>
      <c r="S34" s="178"/>
      <c r="T34" s="178"/>
      <c r="U34" s="178"/>
      <c r="V34" s="178"/>
      <c r="W34" s="178"/>
      <c r="X34" s="178"/>
    </row>
    <row r="35" spans="1:24" ht="35.1" customHeight="1" x14ac:dyDescent="0.2">
      <c r="A35" s="26"/>
      <c r="B35" s="36">
        <v>3</v>
      </c>
      <c r="C35" s="1151"/>
      <c r="D35" s="1155" t="str">
        <f>'DB IDA'!J553</f>
        <v>100.0</v>
      </c>
      <c r="E35" s="1155"/>
      <c r="F35" s="376">
        <f>'DB IDA'!C418</f>
        <v>99.483274666666659</v>
      </c>
      <c r="G35" s="377">
        <f>'DB IDA'!G418</f>
        <v>-0.51672533333334059</v>
      </c>
      <c r="H35" s="1171"/>
      <c r="I35" s="518" t="s">
        <v>216</v>
      </c>
      <c r="J35" s="889" t="str">
        <f>IF('DB IDA'!U418&lt;"0.25",0.25,'DB IDA'!U418)</f>
        <v>0.66</v>
      </c>
      <c r="K35" s="26"/>
      <c r="L35" s="26"/>
      <c r="M35" s="375">
        <f>'DB IDA'!J418</f>
        <v>1.1773522698914414</v>
      </c>
      <c r="N35" s="375">
        <f>IF(M35&lt;=H33,6.25,0)</f>
        <v>6.25</v>
      </c>
      <c r="O35" s="489"/>
      <c r="Q35" s="292" t="s">
        <v>217</v>
      </c>
      <c r="R35" s="293" t="s">
        <v>218</v>
      </c>
      <c r="S35" s="178"/>
      <c r="T35" s="178"/>
      <c r="U35" s="178"/>
      <c r="V35" s="178"/>
      <c r="W35" s="178"/>
      <c r="X35" s="178"/>
    </row>
    <row r="36" spans="1:24" ht="35.1" customHeight="1" thickBot="1" x14ac:dyDescent="0.25">
      <c r="A36" s="26"/>
      <c r="B36" s="39">
        <v>4</v>
      </c>
      <c r="C36" s="1152"/>
      <c r="D36" s="1153" t="str">
        <f>'DB IDA'!K553</f>
        <v>500.0</v>
      </c>
      <c r="E36" s="1153"/>
      <c r="F36" s="378">
        <f>'DB IDA'!C419</f>
        <v>499.34973000000002</v>
      </c>
      <c r="G36" s="379">
        <f>'DB IDA'!G419</f>
        <v>-0.6502699999999777</v>
      </c>
      <c r="H36" s="1172"/>
      <c r="I36" s="519" t="s">
        <v>216</v>
      </c>
      <c r="J36" s="890" t="str">
        <f>IF('DB IDA'!U419&lt;"0.25",0.25,'DB IDA'!U419)</f>
        <v>0.87</v>
      </c>
      <c r="K36" s="26"/>
      <c r="L36" s="26"/>
      <c r="M36" s="375">
        <f>'DB IDA'!J419</f>
        <v>0.30441286018265701</v>
      </c>
      <c r="N36" s="375">
        <f>IF(M36&lt;=H33,6.25,0)</f>
        <v>6.25</v>
      </c>
      <c r="O36" s="489"/>
      <c r="Q36" s="945">
        <f>SCORING!B12</f>
        <v>50</v>
      </c>
      <c r="R36" s="294" t="str">
        <f>SCORING!C12</f>
        <v>PASS</v>
      </c>
      <c r="S36" s="178"/>
      <c r="T36" s="178"/>
      <c r="U36" s="178"/>
      <c r="V36" s="178"/>
      <c r="W36" s="178"/>
      <c r="X36" s="178"/>
    </row>
    <row r="37" spans="1:24" ht="14.25" customHeight="1" x14ac:dyDescent="0.2">
      <c r="A37" s="26"/>
      <c r="B37" s="380"/>
      <c r="C37" s="381"/>
      <c r="D37" s="382"/>
      <c r="E37" s="382"/>
      <c r="F37" s="383"/>
      <c r="G37" s="384"/>
      <c r="H37" s="385"/>
      <c r="I37" s="386"/>
      <c r="J37" s="386"/>
      <c r="K37" s="26"/>
      <c r="L37" s="26"/>
      <c r="M37" s="387"/>
      <c r="N37" s="388"/>
      <c r="O37" s="388"/>
      <c r="S37" s="178"/>
      <c r="T37" s="178"/>
      <c r="U37" s="178"/>
      <c r="V37" s="178"/>
      <c r="W37" s="178"/>
      <c r="X37" s="178"/>
    </row>
    <row r="38" spans="1:24" ht="30.75" customHeight="1" x14ac:dyDescent="0.2">
      <c r="A38" s="26"/>
      <c r="B38" s="389" t="s">
        <v>47</v>
      </c>
      <c r="C38" s="363" t="s">
        <v>34</v>
      </c>
      <c r="D38" s="1157" t="s">
        <v>211</v>
      </c>
      <c r="E38" s="1158"/>
      <c r="F38" s="1159"/>
      <c r="G38" s="1163" t="s">
        <v>50</v>
      </c>
      <c r="H38" s="1163"/>
      <c r="I38" s="1174"/>
      <c r="J38" s="1174"/>
      <c r="K38" s="26"/>
      <c r="L38" s="26"/>
      <c r="M38" s="26"/>
      <c r="N38" s="360" t="s">
        <v>25</v>
      </c>
      <c r="O38" s="487"/>
      <c r="P38" s="184"/>
      <c r="Q38" s="291"/>
      <c r="S38" s="178"/>
      <c r="T38" s="178"/>
      <c r="U38" s="178"/>
      <c r="V38" s="178"/>
      <c r="W38" s="178"/>
      <c r="X38" s="178"/>
    </row>
    <row r="39" spans="1:24" ht="39.75" customHeight="1" x14ac:dyDescent="0.2">
      <c r="A39" s="26"/>
      <c r="B39" s="390">
        <v>5</v>
      </c>
      <c r="C39" s="273" t="str">
        <f>ID!C41</f>
        <v>Occlusion (PSI)</v>
      </c>
      <c r="D39" s="1160">
        <f>'DB IDA'!C420</f>
        <v>9.944190714285714</v>
      </c>
      <c r="E39" s="1161"/>
      <c r="F39" s="1162"/>
      <c r="G39" s="1160">
        <f>LH!G40</f>
        <v>20</v>
      </c>
      <c r="H39" s="1162"/>
      <c r="I39" s="1175"/>
      <c r="J39" s="1175"/>
      <c r="K39" s="26"/>
      <c r="L39" s="26"/>
      <c r="M39" s="391"/>
      <c r="N39" s="521">
        <f>IF(D39&lt;=G39,25,0)</f>
        <v>25</v>
      </c>
      <c r="O39" s="490"/>
      <c r="P39" s="185"/>
      <c r="Q39" s="291"/>
      <c r="S39" s="178"/>
      <c r="T39" s="178"/>
      <c r="U39" s="178"/>
      <c r="V39" s="178"/>
      <c r="W39" s="178"/>
      <c r="X39" s="178"/>
    </row>
    <row r="40" spans="1:24" ht="14.25" customHeight="1" x14ac:dyDescent="0.2">
      <c r="A40" s="26"/>
      <c r="B40" s="392"/>
      <c r="C40" s="393"/>
      <c r="D40" s="393"/>
      <c r="E40" s="394"/>
      <c r="F40" s="395"/>
      <c r="G40" s="395"/>
      <c r="H40" s="395"/>
      <c r="I40" s="359"/>
      <c r="J40" s="359"/>
      <c r="K40" s="359"/>
      <c r="L40" s="396"/>
      <c r="M40" s="397"/>
      <c r="N40" s="396"/>
      <c r="O40" s="396"/>
      <c r="P40" s="93"/>
      <c r="Q40" s="98"/>
    </row>
    <row r="41" spans="1:24" ht="15" x14ac:dyDescent="0.2">
      <c r="A41" s="75" t="str">
        <f>ID!A43</f>
        <v>V.</v>
      </c>
      <c r="B41" s="75" t="str">
        <f>ID!B43</f>
        <v>Keterangan</v>
      </c>
      <c r="C41" s="75"/>
      <c r="D41" s="75"/>
      <c r="E41" s="81"/>
      <c r="F41" s="107"/>
      <c r="G41" s="107"/>
      <c r="H41" s="107"/>
      <c r="I41" s="107"/>
      <c r="J41" s="107"/>
      <c r="K41" s="107"/>
      <c r="L41" s="107"/>
      <c r="M41" s="108"/>
      <c r="N41" s="107"/>
      <c r="O41" s="107"/>
      <c r="Q41" s="112"/>
    </row>
    <row r="42" spans="1:24" ht="15" x14ac:dyDescent="0.2">
      <c r="A42" s="75"/>
      <c r="B42" s="63" t="str">
        <f>ID!B44</f>
        <v>Ketidakpastian pengukuran dilaporkan pada tingkat kepercayaan 95 % dengan faktor cakupan k = 2</v>
      </c>
      <c r="C42" s="114"/>
      <c r="D42" s="114"/>
      <c r="L42" s="77"/>
      <c r="M42" s="77"/>
    </row>
    <row r="43" spans="1:24" ht="15" x14ac:dyDescent="0.2">
      <c r="A43" s="75"/>
      <c r="B43" s="63" t="str">
        <f>ID!B45</f>
        <v>Hasil pengukuran keselamatan listrik tertelusur ke Satuan Internasional ( SI ) melalui PT. Kaliman (LK-032-IDN)</v>
      </c>
      <c r="C43" s="114"/>
      <c r="D43" s="114"/>
      <c r="L43" s="77"/>
      <c r="M43" s="77"/>
    </row>
    <row r="44" spans="1:24" ht="15" x14ac:dyDescent="0.2">
      <c r="A44" s="75"/>
      <c r="B44" s="63" t="str">
        <f>ID!B46</f>
        <v>Hasil pengukuran flowrate tertelusur ke Satuan Internasional ( SI ) melalui PT. Kaliman (LK-032-IDN)</v>
      </c>
      <c r="C44" s="114"/>
      <c r="D44" s="114"/>
      <c r="L44" s="77"/>
      <c r="M44" s="77"/>
    </row>
    <row r="45" spans="1:24" ht="15" x14ac:dyDescent="0.2">
      <c r="A45" s="75"/>
      <c r="B45" s="63" t="str">
        <f>ID!B47</f>
        <v>Hasil pengukuran Occlusion tertelusur ke Satuan Internasional ( SI ) melalui PT. Kaliman (LK-032-IDN)</v>
      </c>
      <c r="C45" s="114"/>
      <c r="D45" s="114"/>
      <c r="L45" s="77"/>
      <c r="M45" s="77"/>
    </row>
    <row r="46" spans="1:24" ht="15" x14ac:dyDescent="0.2">
      <c r="A46" s="75"/>
      <c r="B46" s="63" t="str">
        <f>'DB IDA'!N458</f>
        <v>Infusion device analyzer menggunakan channel 3</v>
      </c>
      <c r="C46" s="114"/>
      <c r="D46" s="114"/>
      <c r="L46" s="77"/>
      <c r="M46" s="77"/>
    </row>
    <row r="47" spans="1:24" ht="15" x14ac:dyDescent="0.2">
      <c r="A47" s="75"/>
      <c r="B47" s="114" t="str">
        <f>ID!B49&amp;ID!D49</f>
        <v>Infusion set merek : Terumo, 20 drops</v>
      </c>
      <c r="C47" s="114"/>
      <c r="D47" s="114"/>
      <c r="E47" s="114"/>
      <c r="F47" s="114"/>
      <c r="G47" s="114"/>
      <c r="H47" s="114"/>
      <c r="L47" s="77"/>
      <c r="M47" s="77"/>
    </row>
    <row r="48" spans="1:24" ht="15" x14ac:dyDescent="0.2">
      <c r="A48" s="75"/>
      <c r="B48" s="114" t="str">
        <f>ID!B50</f>
        <v>Alat tidak boleh digunakan pada instalasi tanpa dilengkapi grounding</v>
      </c>
      <c r="L48" s="77"/>
      <c r="M48" s="77"/>
    </row>
    <row r="49" spans="1:15" ht="15" x14ac:dyDescent="0.2">
      <c r="A49" s="75"/>
      <c r="B49" s="114" t="str">
        <f>ID!B51&amp;ID!D51</f>
        <v/>
      </c>
      <c r="L49" s="77"/>
      <c r="M49" s="77"/>
    </row>
    <row r="50" spans="1:15" ht="15" x14ac:dyDescent="0.2">
      <c r="A50" s="75"/>
      <c r="L50" s="77"/>
      <c r="M50" s="77"/>
    </row>
    <row r="51" spans="1:15" ht="15" x14ac:dyDescent="0.2">
      <c r="A51" s="75" t="str">
        <f>ID!A53</f>
        <v>VI.</v>
      </c>
      <c r="B51" s="75" t="str">
        <f>ID!B53</f>
        <v>Alat Ukur Yang Digunakan</v>
      </c>
      <c r="C51" s="186"/>
      <c r="D51" s="186"/>
      <c r="L51" s="77"/>
      <c r="M51" s="77"/>
    </row>
    <row r="52" spans="1:15" ht="15" x14ac:dyDescent="0.2">
      <c r="A52" s="75"/>
      <c r="B52" s="63" t="str">
        <f>ID!B54</f>
        <v>Electrical Safety Analyzer, Merek : Fluke, Model : ESA 615, SN : 4670010</v>
      </c>
      <c r="L52" s="77"/>
      <c r="M52" s="77"/>
    </row>
    <row r="53" spans="1:15" ht="15" x14ac:dyDescent="0.2">
      <c r="A53" s="75"/>
      <c r="B53" s="63" t="str">
        <f>ID!B55</f>
        <v>Infusion Devices Analyzer, Merek : Fluke, Model : IDA 5, SN : 5157005</v>
      </c>
      <c r="L53" s="77"/>
      <c r="M53" s="77"/>
    </row>
    <row r="54" spans="1:15" ht="15" x14ac:dyDescent="0.2">
      <c r="A54" s="75"/>
      <c r="B54" s="63" t="str">
        <f>ID!B56</f>
        <v>Thermohygrolight, Merek : EXTECH, Model : SD700, SN : A.100605</v>
      </c>
      <c r="L54" s="77"/>
      <c r="M54" s="77"/>
    </row>
    <row r="55" spans="1:15" ht="14.25" customHeight="1" x14ac:dyDescent="0.2">
      <c r="A55" s="75"/>
      <c r="L55" s="77"/>
      <c r="M55" s="77"/>
    </row>
    <row r="56" spans="1:15" ht="15" x14ac:dyDescent="0.2">
      <c r="A56" s="75" t="str">
        <f>ID!A58</f>
        <v>VII.</v>
      </c>
      <c r="B56" s="75" t="str">
        <f>ID!B58</f>
        <v>Kesimpulan</v>
      </c>
      <c r="C56" s="75"/>
      <c r="D56" s="75"/>
      <c r="E56" s="75"/>
      <c r="L56" s="77"/>
      <c r="M56" s="77"/>
    </row>
    <row r="57" spans="1:15" ht="15" customHeight="1" x14ac:dyDescent="0.2">
      <c r="A57" s="75"/>
      <c r="B57" s="1164" t="str">
        <f>ID!B59:I59</f>
        <v>Alat yang dikalibrasi dalam batas toleransi dan dinyatakan LAIK PAKAI, dimana hasil atau skor akhir sama dengan atau melampaui 70% berdasarkan Keputusan Direktur Jenderal Pelayanan Kesehatan No : HK.02.02/V/0412/2020.</v>
      </c>
      <c r="C57" s="1164"/>
      <c r="D57" s="1164"/>
      <c r="E57" s="1164"/>
      <c r="F57" s="1164"/>
      <c r="G57" s="1164"/>
      <c r="H57" s="1164"/>
      <c r="I57" s="1164"/>
      <c r="J57" s="1164"/>
      <c r="K57" s="1164"/>
      <c r="L57" s="1164"/>
      <c r="M57" s="1164"/>
    </row>
    <row r="58" spans="1:15" ht="15" x14ac:dyDescent="0.2">
      <c r="A58" s="75"/>
      <c r="B58" s="1164"/>
      <c r="C58" s="1164"/>
      <c r="D58" s="1164"/>
      <c r="E58" s="1164"/>
      <c r="F58" s="1164"/>
      <c r="G58" s="1164"/>
      <c r="H58" s="1164"/>
      <c r="I58" s="1164"/>
      <c r="J58" s="1164"/>
      <c r="K58" s="1164"/>
      <c r="L58" s="1164"/>
      <c r="M58" s="1164"/>
    </row>
    <row r="59" spans="1:15" ht="14.25" customHeight="1" x14ac:dyDescent="0.2">
      <c r="A59" s="75"/>
      <c r="B59" s="75"/>
      <c r="L59" s="77"/>
      <c r="M59" s="77"/>
    </row>
    <row r="60" spans="1:15" ht="15" x14ac:dyDescent="0.2">
      <c r="A60" s="75" t="str">
        <f>ID!A62</f>
        <v>VIII.</v>
      </c>
      <c r="B60" s="75" t="str">
        <f>ID!B62</f>
        <v>Petugas Kalibrasi</v>
      </c>
      <c r="C60" s="75"/>
      <c r="D60" s="75"/>
      <c r="L60" s="77"/>
      <c r="M60" s="77"/>
    </row>
    <row r="61" spans="1:15" x14ac:dyDescent="0.2">
      <c r="B61" s="63" t="str">
        <f>ID!B63:D63</f>
        <v>Donny Martha</v>
      </c>
      <c r="L61" s="77"/>
      <c r="M61" s="77"/>
      <c r="N61" s="77"/>
      <c r="O61" s="77"/>
    </row>
    <row r="62" spans="1:15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353"/>
      <c r="M62" s="353"/>
      <c r="N62" s="26"/>
      <c r="O62" s="26"/>
    </row>
    <row r="63" spans="1:15" x14ac:dyDescent="0.2">
      <c r="A63" s="26"/>
      <c r="B63" s="1156" t="s">
        <v>94</v>
      </c>
      <c r="C63" s="1156"/>
      <c r="D63" s="1156"/>
      <c r="E63" s="1156"/>
      <c r="F63" s="1156"/>
      <c r="G63" s="1156" t="s">
        <v>92</v>
      </c>
      <c r="H63" s="1156"/>
      <c r="I63" s="398" t="s">
        <v>219</v>
      </c>
      <c r="J63" s="1180" t="s">
        <v>220</v>
      </c>
      <c r="K63" s="1181"/>
      <c r="L63" s="353"/>
      <c r="M63" s="353"/>
      <c r="N63" s="26"/>
      <c r="O63" s="26"/>
    </row>
    <row r="64" spans="1:15" x14ac:dyDescent="0.2">
      <c r="A64" s="26"/>
      <c r="B64" s="399" t="str">
        <f>'DB IDA'!A531&amp;'DB IDA'!A507&amp;ID!B63</f>
        <v>Dibuat : Donny Martha</v>
      </c>
      <c r="C64" s="400"/>
      <c r="D64" s="400"/>
      <c r="E64" s="400"/>
      <c r="F64" s="401"/>
      <c r="G64" s="1173" t="str">
        <f>ID!B66</f>
        <v>14 Maret 2022</v>
      </c>
      <c r="H64" s="1173"/>
      <c r="I64" s="402"/>
      <c r="J64" s="1176">
        <f>SUM(Q36,N26,N21:N22)</f>
        <v>100</v>
      </c>
      <c r="K64" s="1177"/>
      <c r="L64" s="403"/>
      <c r="M64" s="353"/>
      <c r="N64" s="26"/>
      <c r="O64" s="26"/>
    </row>
    <row r="65" spans="1:16" ht="15" x14ac:dyDescent="0.2">
      <c r="A65" s="404"/>
      <c r="B65" s="405" t="s">
        <v>221</v>
      </c>
      <c r="C65" s="406"/>
      <c r="D65" s="406"/>
      <c r="E65" s="406"/>
      <c r="F65" s="401"/>
      <c r="G65" s="407"/>
      <c r="H65" s="401"/>
      <c r="I65" s="402"/>
      <c r="J65" s="1178"/>
      <c r="K65" s="1179"/>
      <c r="L65" s="403"/>
      <c r="M65" s="353"/>
      <c r="N65" s="26"/>
      <c r="O65" s="26"/>
    </row>
    <row r="66" spans="1:16" ht="15" x14ac:dyDescent="0.2">
      <c r="A66" s="404"/>
      <c r="B66" s="404"/>
      <c r="C66" s="404"/>
      <c r="D66" s="404"/>
      <c r="E66" s="404"/>
      <c r="F66" s="404"/>
      <c r="G66" s="404"/>
      <c r="H66" s="26"/>
      <c r="I66" s="26"/>
      <c r="J66" s="356"/>
      <c r="K66" s="1166"/>
      <c r="L66" s="1166"/>
      <c r="M66" s="26"/>
      <c r="N66" s="26"/>
      <c r="O66" s="26"/>
    </row>
    <row r="67" spans="1:16" ht="15" x14ac:dyDescent="0.2">
      <c r="A67" s="408"/>
      <c r="B67" s="408"/>
      <c r="C67" s="408"/>
      <c r="D67" s="404"/>
      <c r="E67" s="404"/>
      <c r="F67" s="404"/>
      <c r="G67" s="381"/>
      <c r="H67" s="26"/>
      <c r="I67" s="26"/>
      <c r="J67" s="409"/>
      <c r="K67" s="1165"/>
      <c r="L67" s="1165"/>
      <c r="M67" s="26"/>
      <c r="N67" s="26"/>
      <c r="O67" s="26"/>
    </row>
    <row r="68" spans="1:16" x14ac:dyDescent="0.2">
      <c r="L68" s="77"/>
      <c r="M68" s="77"/>
    </row>
    <row r="69" spans="1:16" x14ac:dyDescent="0.2">
      <c r="C69" s="107"/>
      <c r="D69" s="107"/>
      <c r="E69" s="107"/>
      <c r="F69" s="107"/>
      <c r="G69" s="107"/>
      <c r="H69" s="107"/>
      <c r="I69" s="77"/>
      <c r="J69" s="77"/>
      <c r="L69" s="77"/>
      <c r="M69" s="77"/>
    </row>
    <row r="70" spans="1:16" x14ac:dyDescent="0.2">
      <c r="L70" s="77"/>
      <c r="M70" s="77"/>
    </row>
    <row r="71" spans="1:16" x14ac:dyDescent="0.2"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</row>
    <row r="72" spans="1:16" x14ac:dyDescent="0.2"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</row>
    <row r="73" spans="1:16" x14ac:dyDescent="0.2"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</row>
    <row r="74" spans="1:16" x14ac:dyDescent="0.2"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</row>
    <row r="75" spans="1:16" x14ac:dyDescent="0.2"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</row>
    <row r="76" spans="1:16" x14ac:dyDescent="0.2"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</row>
    <row r="77" spans="1:16" x14ac:dyDescent="0.2"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</row>
    <row r="78" spans="1:16" x14ac:dyDescent="0.2"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</row>
    <row r="79" spans="1:16" x14ac:dyDescent="0.2"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</row>
    <row r="80" spans="1:16" x14ac:dyDescent="0.2"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</row>
    <row r="81" spans="2:16" x14ac:dyDescent="0.2"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</row>
    <row r="82" spans="2:16" x14ac:dyDescent="0.2"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</row>
    <row r="83" spans="2:16" x14ac:dyDescent="0.2"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</row>
    <row r="84" spans="2:16" x14ac:dyDescent="0.2"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</row>
    <row r="85" spans="2:16" x14ac:dyDescent="0.2"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</row>
    <row r="86" spans="2:16" x14ac:dyDescent="0.2"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</row>
    <row r="87" spans="2:16" x14ac:dyDescent="0.2"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</row>
    <row r="88" spans="2:16" x14ac:dyDescent="0.2"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</row>
    <row r="89" spans="2:16" x14ac:dyDescent="0.2"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</row>
    <row r="90" spans="2:16" x14ac:dyDescent="0.2"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</row>
    <row r="91" spans="2:16" x14ac:dyDescent="0.2"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</row>
    <row r="92" spans="2:16" x14ac:dyDescent="0.2"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</row>
    <row r="93" spans="2:16" x14ac:dyDescent="0.2"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</row>
    <row r="94" spans="2:16" x14ac:dyDescent="0.2"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</row>
    <row r="95" spans="2:16" x14ac:dyDescent="0.2"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</row>
    <row r="96" spans="2:16" x14ac:dyDescent="0.2"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</row>
    <row r="97" spans="2:16" x14ac:dyDescent="0.2"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</row>
    <row r="98" spans="2:16" x14ac:dyDescent="0.2"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</row>
    <row r="99" spans="2:16" x14ac:dyDescent="0.2"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</row>
    <row r="100" spans="2:16" x14ac:dyDescent="0.2"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</row>
    <row r="101" spans="2:16" x14ac:dyDescent="0.2"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</row>
    <row r="102" spans="2:16" x14ac:dyDescent="0.2"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</row>
    <row r="103" spans="2:16" x14ac:dyDescent="0.2"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</row>
    <row r="104" spans="2:16" x14ac:dyDescent="0.2"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</row>
    <row r="105" spans="2:16" x14ac:dyDescent="0.2"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</row>
    <row r="106" spans="2:16" x14ac:dyDescent="0.2"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</row>
    <row r="107" spans="2:16" x14ac:dyDescent="0.2"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</row>
    <row r="108" spans="2:16" x14ac:dyDescent="0.2"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</row>
    <row r="109" spans="2:16" x14ac:dyDescent="0.2"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</row>
    <row r="110" spans="2:16" x14ac:dyDescent="0.2"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</row>
    <row r="111" spans="2:16" x14ac:dyDescent="0.2"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</row>
    <row r="112" spans="2:16" x14ac:dyDescent="0.2"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</row>
    <row r="113" spans="2:16" x14ac:dyDescent="0.2"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</row>
    <row r="114" spans="2:16" x14ac:dyDescent="0.2"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</row>
    <row r="115" spans="2:16" x14ac:dyDescent="0.2"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</row>
    <row r="116" spans="2:16" x14ac:dyDescent="0.2"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</row>
    <row r="117" spans="2:16" x14ac:dyDescent="0.2"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</row>
    <row r="118" spans="2:16" x14ac:dyDescent="0.2"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</row>
    <row r="119" spans="2:16" x14ac:dyDescent="0.2"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</row>
    <row r="120" spans="2:16" x14ac:dyDescent="0.2"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</row>
    <row r="121" spans="2:16" x14ac:dyDescent="0.2"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</row>
    <row r="122" spans="2:16" x14ac:dyDescent="0.2"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</row>
    <row r="123" spans="2:16" x14ac:dyDescent="0.2"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</row>
    <row r="124" spans="2:16" x14ac:dyDescent="0.2"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</row>
    <row r="125" spans="2:16" x14ac:dyDescent="0.2"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</row>
    <row r="126" spans="2:16" x14ac:dyDescent="0.2"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</row>
    <row r="127" spans="2:16" x14ac:dyDescent="0.2"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</row>
    <row r="128" spans="2:16" x14ac:dyDescent="0.2"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</row>
    <row r="129" spans="2:16" x14ac:dyDescent="0.2"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</row>
    <row r="130" spans="2:16" x14ac:dyDescent="0.2"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</row>
    <row r="131" spans="2:16" x14ac:dyDescent="0.2"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</row>
    <row r="132" spans="2:16" x14ac:dyDescent="0.2"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</row>
    <row r="133" spans="2:16" x14ac:dyDescent="0.2"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</row>
    <row r="134" spans="2:16" x14ac:dyDescent="0.2"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</row>
    <row r="135" spans="2:16" x14ac:dyDescent="0.2"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</row>
    <row r="136" spans="2:16" x14ac:dyDescent="0.2"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</row>
    <row r="137" spans="2:16" x14ac:dyDescent="0.2"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</row>
    <row r="138" spans="2:16" x14ac:dyDescent="0.2"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</row>
    <row r="139" spans="2:16" x14ac:dyDescent="0.2"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</row>
    <row r="140" spans="2:16" x14ac:dyDescent="0.2"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</row>
    <row r="141" spans="2:16" x14ac:dyDescent="0.2"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</row>
    <row r="142" spans="2:16" x14ac:dyDescent="0.2"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</row>
    <row r="143" spans="2:16" x14ac:dyDescent="0.2"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</row>
    <row r="144" spans="2:16" x14ac:dyDescent="0.2"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</row>
    <row r="145" spans="2:16" x14ac:dyDescent="0.2"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</row>
    <row r="146" spans="2:16" x14ac:dyDescent="0.2"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</row>
    <row r="147" spans="2:16" x14ac:dyDescent="0.2"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</row>
    <row r="148" spans="2:16" x14ac:dyDescent="0.2"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</row>
    <row r="149" spans="2:16" x14ac:dyDescent="0.2"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</row>
    <row r="150" spans="2:16" x14ac:dyDescent="0.2"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</row>
    <row r="151" spans="2:16" x14ac:dyDescent="0.2"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</row>
    <row r="152" spans="2:16" x14ac:dyDescent="0.2"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</row>
    <row r="153" spans="2:16" x14ac:dyDescent="0.2"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</row>
    <row r="154" spans="2:16" x14ac:dyDescent="0.2"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</row>
    <row r="155" spans="2:16" x14ac:dyDescent="0.2"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</row>
    <row r="156" spans="2:16" x14ac:dyDescent="0.2"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</row>
    <row r="157" spans="2:16" x14ac:dyDescent="0.2"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</row>
    <row r="158" spans="2:16" x14ac:dyDescent="0.2"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</row>
    <row r="159" spans="2:16" x14ac:dyDescent="0.2"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</row>
    <row r="160" spans="2:16" x14ac:dyDescent="0.2"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</row>
    <row r="161" spans="2:16" x14ac:dyDescent="0.2"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</row>
    <row r="162" spans="2:16" x14ac:dyDescent="0.2"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</row>
    <row r="163" spans="2:16" x14ac:dyDescent="0.2"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</row>
    <row r="164" spans="2:16" x14ac:dyDescent="0.2"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</row>
    <row r="165" spans="2:16" x14ac:dyDescent="0.2"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</row>
    <row r="166" spans="2:16" x14ac:dyDescent="0.2">
      <c r="B166" s="187"/>
      <c r="C166" s="187" t="s">
        <v>222</v>
      </c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</row>
    <row r="167" spans="2:16" x14ac:dyDescent="0.2">
      <c r="B167" s="187"/>
      <c r="C167" s="187" t="s">
        <v>223</v>
      </c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</row>
    <row r="168" spans="2:16" x14ac:dyDescent="0.2"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</row>
    <row r="169" spans="2:16" x14ac:dyDescent="0.2">
      <c r="B169" s="187"/>
      <c r="C169" s="187" t="s">
        <v>224</v>
      </c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</row>
    <row r="170" spans="2:16" x14ac:dyDescent="0.2">
      <c r="B170" s="187"/>
      <c r="C170" s="187" t="s">
        <v>225</v>
      </c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</row>
    <row r="171" spans="2:16" x14ac:dyDescent="0.2"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</row>
    <row r="172" spans="2:16" x14ac:dyDescent="0.2">
      <c r="B172" s="187"/>
      <c r="C172" s="187" t="s">
        <v>226</v>
      </c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</row>
    <row r="173" spans="2:16" x14ac:dyDescent="0.2">
      <c r="B173" s="187"/>
      <c r="C173" s="187" t="s">
        <v>227</v>
      </c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</row>
    <row r="174" spans="2:16" x14ac:dyDescent="0.2">
      <c r="B174" s="187"/>
      <c r="C174" s="187" t="s">
        <v>158</v>
      </c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</row>
    <row r="175" spans="2:16" x14ac:dyDescent="0.2">
      <c r="B175" s="187"/>
      <c r="C175" s="187" t="s">
        <v>228</v>
      </c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</row>
    <row r="176" spans="2:16" x14ac:dyDescent="0.2">
      <c r="B176" s="187"/>
      <c r="C176" s="187" t="s">
        <v>229</v>
      </c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</row>
    <row r="177" spans="2:16" x14ac:dyDescent="0.2"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</row>
    <row r="178" spans="2:16" x14ac:dyDescent="0.2"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</row>
    <row r="179" spans="2:16" x14ac:dyDescent="0.2"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</row>
    <row r="180" spans="2:16" x14ac:dyDescent="0.2"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</row>
    <row r="181" spans="2:16" x14ac:dyDescent="0.2"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</row>
    <row r="182" spans="2:16" x14ac:dyDescent="0.2"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</row>
    <row r="183" spans="2:16" x14ac:dyDescent="0.2"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</row>
    <row r="184" spans="2:16" x14ac:dyDescent="0.2"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</row>
    <row r="185" spans="2:16" x14ac:dyDescent="0.2">
      <c r="B185" s="187"/>
      <c r="C185" s="187" t="s">
        <v>230</v>
      </c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</row>
    <row r="186" spans="2:16" x14ac:dyDescent="0.2">
      <c r="B186" s="187"/>
      <c r="C186" s="187" t="s">
        <v>231</v>
      </c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</row>
    <row r="187" spans="2:16" x14ac:dyDescent="0.2">
      <c r="B187" s="187"/>
      <c r="C187" s="187" t="s">
        <v>232</v>
      </c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</row>
    <row r="188" spans="2:16" x14ac:dyDescent="0.2">
      <c r="B188" s="187"/>
      <c r="C188" s="187" t="s">
        <v>233</v>
      </c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</row>
    <row r="189" spans="2:16" x14ac:dyDescent="0.2">
      <c r="B189" s="187"/>
      <c r="C189" s="187" t="s">
        <v>234</v>
      </c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</row>
    <row r="190" spans="2:16" x14ac:dyDescent="0.2"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</row>
    <row r="191" spans="2:16" x14ac:dyDescent="0.2">
      <c r="B191" s="187"/>
      <c r="C191" s="187" t="s">
        <v>230</v>
      </c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</row>
    <row r="192" spans="2:16" x14ac:dyDescent="0.2">
      <c r="B192" s="187"/>
      <c r="C192" s="187" t="s">
        <v>232</v>
      </c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</row>
    <row r="193" spans="2:16" x14ac:dyDescent="0.2"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</row>
    <row r="194" spans="2:16" x14ac:dyDescent="0.2">
      <c r="B194" s="187"/>
      <c r="C194" s="187" t="s">
        <v>235</v>
      </c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</row>
    <row r="195" spans="2:16" x14ac:dyDescent="0.2">
      <c r="B195" s="187"/>
      <c r="C195" s="187" t="s">
        <v>236</v>
      </c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</row>
    <row r="196" spans="2:16" x14ac:dyDescent="0.2"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</row>
    <row r="197" spans="2:16" x14ac:dyDescent="0.2">
      <c r="B197" s="187"/>
      <c r="C197" s="188" t="s">
        <v>237</v>
      </c>
      <c r="D197" s="188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</row>
    <row r="198" spans="2:16" x14ac:dyDescent="0.2">
      <c r="B198" s="187"/>
      <c r="C198" s="188" t="s">
        <v>238</v>
      </c>
      <c r="D198" s="188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</row>
    <row r="199" spans="2:16" x14ac:dyDescent="0.2"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</row>
    <row r="200" spans="2:16" x14ac:dyDescent="0.2">
      <c r="B200" s="187"/>
      <c r="C200" s="188" t="s">
        <v>239</v>
      </c>
      <c r="D200" s="188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</row>
    <row r="201" spans="2:16" x14ac:dyDescent="0.2">
      <c r="B201" s="187"/>
      <c r="C201" s="188" t="s">
        <v>240</v>
      </c>
      <c r="D201" s="188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</row>
    <row r="202" spans="2:16" x14ac:dyDescent="0.2">
      <c r="B202" s="189"/>
      <c r="C202" s="189"/>
      <c r="D202" s="189"/>
      <c r="E202" s="189"/>
      <c r="F202" s="189"/>
      <c r="G202" s="189"/>
      <c r="H202" s="189"/>
      <c r="I202" s="189"/>
      <c r="J202" s="189"/>
      <c r="K202" s="189"/>
      <c r="L202" s="189"/>
      <c r="M202" s="189"/>
      <c r="N202" s="189"/>
      <c r="O202" s="189"/>
      <c r="P202" s="189"/>
    </row>
  </sheetData>
  <sheetProtection formatCells="0" formatColumns="0" formatRows="0" insertRows="0" deleteRows="0"/>
  <mergeCells count="49">
    <mergeCell ref="A1:N1"/>
    <mergeCell ref="A2:N2"/>
    <mergeCell ref="B31:B32"/>
    <mergeCell ref="C31:C32"/>
    <mergeCell ref="E6:G6"/>
    <mergeCell ref="F31:F32"/>
    <mergeCell ref="G31:G32"/>
    <mergeCell ref="H31:H32"/>
    <mergeCell ref="D31:E32"/>
    <mergeCell ref="E9:F9"/>
    <mergeCell ref="E10:F10"/>
    <mergeCell ref="J25:K25"/>
    <mergeCell ref="L25:M25"/>
    <mergeCell ref="I31:J32"/>
    <mergeCell ref="N31:N32"/>
    <mergeCell ref="N26:N28"/>
    <mergeCell ref="K67:L67"/>
    <mergeCell ref="K66:L66"/>
    <mergeCell ref="M31:M32"/>
    <mergeCell ref="Q34:R34"/>
    <mergeCell ref="H33:H36"/>
    <mergeCell ref="G64:H64"/>
    <mergeCell ref="I38:J38"/>
    <mergeCell ref="I39:J39"/>
    <mergeCell ref="J64:K65"/>
    <mergeCell ref="J63:K63"/>
    <mergeCell ref="G39:H39"/>
    <mergeCell ref="B63:F63"/>
    <mergeCell ref="G63:H63"/>
    <mergeCell ref="D38:F38"/>
    <mergeCell ref="D39:F39"/>
    <mergeCell ref="G38:H38"/>
    <mergeCell ref="B57:M58"/>
    <mergeCell ref="C33:C36"/>
    <mergeCell ref="D36:E36"/>
    <mergeCell ref="D33:E33"/>
    <mergeCell ref="D34:E34"/>
    <mergeCell ref="D35:E35"/>
    <mergeCell ref="Q29:Q30"/>
    <mergeCell ref="R29:R30"/>
    <mergeCell ref="W25:AE25"/>
    <mergeCell ref="Q23:R24"/>
    <mergeCell ref="S23:S24"/>
    <mergeCell ref="T23:T24"/>
    <mergeCell ref="C25:I25"/>
    <mergeCell ref="U23:U24"/>
    <mergeCell ref="W23:AE23"/>
    <mergeCell ref="W24:AE24"/>
    <mergeCell ref="W28:AC28"/>
  </mergeCells>
  <phoneticPr fontId="4" type="noConversion"/>
  <printOptions horizontalCentered="1"/>
  <pageMargins left="0.511811023622047" right="0.23622047244094499" top="0.511811023622047" bottom="0.31496062992126" header="0.23622047244094499" footer="0.15748031496063"/>
  <pageSetup paperSize="9" scale="69" orientation="portrait" horizontalDpi="4294967294" verticalDpi="4294967294" r:id="rId1"/>
  <headerFooter>
    <oddHeader xml:space="preserve">&amp;R&amp;"-,Regular"&amp;8FV.027-18
</oddHeader>
    <oddFooter>&amp;C&amp;8&amp;K04+000SOFTWARE INFUSION PUMP 5-4-2022&amp;R&amp;K00-032Infusion Pump 5.4.2022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12</xdr:col>
                <xdr:colOff>28575</xdr:colOff>
                <xdr:row>71</xdr:row>
                <xdr:rowOff>142875</xdr:rowOff>
              </from>
              <to>
                <xdr:col>12</xdr:col>
                <xdr:colOff>428625</xdr:colOff>
                <xdr:row>71</xdr:row>
                <xdr:rowOff>142875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12</xdr:col>
                <xdr:colOff>57150</xdr:colOff>
                <xdr:row>71</xdr:row>
                <xdr:rowOff>142875</xdr:rowOff>
              </from>
              <to>
                <xdr:col>12</xdr:col>
                <xdr:colOff>438150</xdr:colOff>
                <xdr:row>71</xdr:row>
                <xdr:rowOff>142875</xdr:rowOff>
              </to>
            </anchor>
          </objectPr>
        </oleObject>
      </mc:Choice>
      <mc:Fallback>
        <oleObject progId="Equation.3" shapeId="3468" r:id="rId312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DB2C9FC7-A29C-443D-9F04-48F401BD6802}">
            <x14:iconSet custom="1">
              <x14:cfvo type="percent">
                <xm:f>0</xm:f>
              </x14:cfvo>
              <x14:cfvo type="num" gte="0">
                <xm:f>20</xm:f>
              </x14:cfvo>
              <x14:cfvo type="num">
                <xm:f>20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M39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F159"/>
  <sheetViews>
    <sheetView showGridLines="0" view="pageBreakPreview" zoomScale="81" zoomScaleNormal="100" zoomScaleSheetLayoutView="70" zoomScalePageLayoutView="80" workbookViewId="0">
      <selection activeCell="E7" sqref="E7"/>
    </sheetView>
  </sheetViews>
  <sheetFormatPr defaultColWidth="9.140625" defaultRowHeight="14.25" x14ac:dyDescent="0.2"/>
  <cols>
    <col min="1" max="1" width="4.140625" style="63" customWidth="1"/>
    <col min="2" max="2" width="4.5703125" style="63" customWidth="1"/>
    <col min="3" max="3" width="16.5703125" style="63" customWidth="1"/>
    <col min="4" max="4" width="2.42578125" style="76" customWidth="1"/>
    <col min="5" max="5" width="8.85546875" style="63" customWidth="1"/>
    <col min="6" max="6" width="8.7109375" style="63" customWidth="1"/>
    <col min="7" max="7" width="10" style="63" customWidth="1"/>
    <col min="8" max="8" width="8.7109375" style="63" customWidth="1"/>
    <col min="9" max="9" width="10.140625" style="63" customWidth="1"/>
    <col min="10" max="10" width="10.28515625" style="63" customWidth="1"/>
    <col min="11" max="11" width="10" style="63" customWidth="1"/>
    <col min="12" max="12" width="12.85546875" style="63" customWidth="1"/>
    <col min="13" max="13" width="8.42578125" style="63" customWidth="1"/>
    <col min="14" max="14" width="11.5703125" style="63" customWidth="1"/>
    <col min="15" max="15" width="4.7109375" style="63" customWidth="1"/>
    <col min="16" max="16" width="8.5703125" style="63" customWidth="1"/>
    <col min="17" max="17" width="9.85546875" style="63" customWidth="1"/>
    <col min="18" max="18" width="14.28515625" style="63" customWidth="1"/>
    <col min="19" max="19" width="16.140625" style="63" customWidth="1"/>
    <col min="20" max="20" width="16.42578125" style="63" customWidth="1"/>
    <col min="21" max="21" width="13.42578125" style="63" customWidth="1"/>
    <col min="22" max="22" width="16.140625" style="63" customWidth="1"/>
    <col min="23" max="16384" width="9.140625" style="63"/>
  </cols>
  <sheetData>
    <row r="1" spans="1:18" ht="18" x14ac:dyDescent="0.2">
      <c r="A1" s="1244" t="s">
        <v>118</v>
      </c>
      <c r="B1" s="1244"/>
      <c r="C1" s="1244"/>
      <c r="D1" s="1244"/>
      <c r="E1" s="1244"/>
      <c r="F1" s="1244"/>
      <c r="G1" s="1244"/>
      <c r="H1" s="1244"/>
      <c r="I1" s="1244"/>
      <c r="J1" s="1244"/>
      <c r="K1" s="1244"/>
      <c r="L1" s="1244"/>
      <c r="M1" s="1244"/>
      <c r="N1" s="1244"/>
      <c r="O1" s="333"/>
      <c r="P1" s="333"/>
      <c r="Q1" s="74"/>
      <c r="R1" s="74"/>
    </row>
    <row r="2" spans="1:18" ht="15" x14ac:dyDescent="0.2">
      <c r="A2" s="75"/>
      <c r="B2" s="75"/>
      <c r="C2" s="75"/>
      <c r="D2" s="75"/>
      <c r="F2" s="1247" t="str">
        <f>'DB IDA'!A538&amp;'DB IDA'!A507</f>
        <v xml:space="preserve">Nomor Sertifikat : 29 / </v>
      </c>
      <c r="G2" s="1247"/>
      <c r="H2" s="1247"/>
      <c r="I2" s="652" t="s">
        <v>119</v>
      </c>
      <c r="J2" s="1067"/>
      <c r="K2" s="1067"/>
      <c r="L2" s="1067"/>
      <c r="M2" s="75"/>
    </row>
    <row r="3" spans="1:18" ht="15.75" x14ac:dyDescent="0.2">
      <c r="A3" s="75"/>
      <c r="B3" s="75"/>
      <c r="C3" s="75"/>
      <c r="D3" s="75"/>
      <c r="E3" s="72"/>
      <c r="F3" s="73"/>
      <c r="G3" s="73"/>
      <c r="H3" s="175"/>
      <c r="I3" s="176"/>
      <c r="J3" s="177"/>
      <c r="K3" s="177"/>
      <c r="L3" s="178"/>
      <c r="M3" s="75"/>
    </row>
    <row r="4" spans="1:18" x14ac:dyDescent="0.2">
      <c r="A4" s="63" t="s">
        <v>2</v>
      </c>
      <c r="D4" s="76" t="s">
        <v>11</v>
      </c>
      <c r="E4" s="1068" t="s">
        <v>120</v>
      </c>
      <c r="F4" s="78"/>
      <c r="G4" s="78"/>
      <c r="L4" s="77"/>
      <c r="M4" s="77"/>
    </row>
    <row r="5" spans="1:18" x14ac:dyDescent="0.2">
      <c r="A5" s="63" t="s">
        <v>4</v>
      </c>
      <c r="D5" s="76" t="s">
        <v>11</v>
      </c>
      <c r="E5" s="1068" t="s">
        <v>121</v>
      </c>
      <c r="F5" s="78"/>
      <c r="G5" s="78"/>
      <c r="L5" s="77"/>
      <c r="M5" s="77"/>
    </row>
    <row r="6" spans="1:18" x14ac:dyDescent="0.2">
      <c r="A6" s="63" t="s">
        <v>5</v>
      </c>
      <c r="D6" s="76" t="s">
        <v>11</v>
      </c>
      <c r="E6" s="1069" t="s">
        <v>122</v>
      </c>
      <c r="F6" s="78"/>
      <c r="G6" s="78"/>
      <c r="L6" s="77"/>
      <c r="M6" s="77"/>
    </row>
    <row r="7" spans="1:18" x14ac:dyDescent="0.2">
      <c r="A7" s="63" t="s">
        <v>6</v>
      </c>
      <c r="C7" s="497" t="s">
        <v>123</v>
      </c>
      <c r="D7" s="76" t="s">
        <v>11</v>
      </c>
      <c r="E7" s="498">
        <v>0.01</v>
      </c>
      <c r="F7" s="26" t="s">
        <v>124</v>
      </c>
      <c r="L7" s="77"/>
      <c r="M7" s="77"/>
    </row>
    <row r="8" spans="1:18" x14ac:dyDescent="0.2">
      <c r="C8" s="497" t="s">
        <v>125</v>
      </c>
      <c r="D8" s="76" t="s">
        <v>11</v>
      </c>
      <c r="E8" s="498">
        <v>0.1</v>
      </c>
      <c r="F8" s="26" t="s">
        <v>124</v>
      </c>
      <c r="L8" s="77"/>
      <c r="M8" s="77"/>
    </row>
    <row r="9" spans="1:18" x14ac:dyDescent="0.2">
      <c r="A9" s="63" t="s">
        <v>10</v>
      </c>
      <c r="D9" s="76" t="s">
        <v>11</v>
      </c>
      <c r="E9" s="1245">
        <v>44483</v>
      </c>
      <c r="F9" s="1245"/>
      <c r="G9" s="1245"/>
      <c r="L9" s="77"/>
      <c r="M9" s="77"/>
    </row>
    <row r="10" spans="1:18" x14ac:dyDescent="0.2">
      <c r="A10" s="63" t="s">
        <v>12</v>
      </c>
      <c r="D10" s="76" t="s">
        <v>11</v>
      </c>
      <c r="E10" s="1246">
        <v>44483</v>
      </c>
      <c r="F10" s="1246"/>
      <c r="G10" s="1246"/>
      <c r="L10" s="77"/>
      <c r="M10" s="77"/>
    </row>
    <row r="11" spans="1:18" x14ac:dyDescent="0.2">
      <c r="A11" s="63" t="s">
        <v>13</v>
      </c>
      <c r="D11" s="76" t="s">
        <v>11</v>
      </c>
      <c r="E11" s="1069" t="s">
        <v>126</v>
      </c>
      <c r="F11" s="78"/>
      <c r="G11" s="78"/>
      <c r="L11" s="77"/>
      <c r="M11" s="77"/>
    </row>
    <row r="12" spans="1:18" x14ac:dyDescent="0.2">
      <c r="A12" s="63" t="s">
        <v>127</v>
      </c>
      <c r="D12" s="76" t="s">
        <v>11</v>
      </c>
      <c r="E12" s="1068" t="s">
        <v>128</v>
      </c>
      <c r="F12" s="78"/>
      <c r="G12" s="78"/>
      <c r="L12" s="77"/>
      <c r="M12" s="77"/>
    </row>
    <row r="13" spans="1:18" x14ac:dyDescent="0.2">
      <c r="A13" s="26" t="s">
        <v>129</v>
      </c>
      <c r="B13" s="26"/>
      <c r="C13" s="26"/>
      <c r="D13" s="27" t="s">
        <v>11</v>
      </c>
      <c r="E13" s="17" t="s">
        <v>130</v>
      </c>
      <c r="F13" s="26"/>
      <c r="G13" s="26"/>
      <c r="H13" s="26"/>
      <c r="L13" s="77"/>
      <c r="M13" s="77"/>
    </row>
    <row r="14" spans="1:18" ht="14.25" customHeight="1" x14ac:dyDescent="0.2">
      <c r="L14" s="77"/>
      <c r="M14" s="77"/>
    </row>
    <row r="15" spans="1:18" ht="15" x14ac:dyDescent="0.2">
      <c r="A15" s="75" t="s">
        <v>131</v>
      </c>
      <c r="B15" s="75" t="s">
        <v>16</v>
      </c>
      <c r="C15" s="75"/>
      <c r="D15" s="81"/>
    </row>
    <row r="16" spans="1:18" ht="31.5" customHeight="1" x14ac:dyDescent="0.2">
      <c r="B16" s="75"/>
      <c r="C16" s="75"/>
      <c r="D16" s="81"/>
      <c r="E16" s="208" t="s">
        <v>17</v>
      </c>
      <c r="F16" s="208" t="s">
        <v>18</v>
      </c>
      <c r="G16" s="512"/>
      <c r="H16" s="82"/>
      <c r="I16" s="83"/>
      <c r="J16" s="84"/>
    </row>
    <row r="17" spans="1:32" x14ac:dyDescent="0.2">
      <c r="B17" s="63" t="s">
        <v>132</v>
      </c>
      <c r="D17" s="76" t="s">
        <v>11</v>
      </c>
      <c r="E17" s="343">
        <v>21</v>
      </c>
      <c r="F17" s="343">
        <v>21.4</v>
      </c>
      <c r="G17" s="85" t="s">
        <v>133</v>
      </c>
      <c r="I17" s="85"/>
      <c r="J17" s="86"/>
    </row>
    <row r="18" spans="1:32" x14ac:dyDescent="0.2">
      <c r="B18" s="63" t="s">
        <v>134</v>
      </c>
      <c r="D18" s="76" t="s">
        <v>11</v>
      </c>
      <c r="E18" s="343">
        <v>70</v>
      </c>
      <c r="F18" s="343">
        <v>70.7</v>
      </c>
      <c r="G18" s="85" t="s">
        <v>22</v>
      </c>
      <c r="I18" s="85"/>
      <c r="J18" s="86"/>
      <c r="Q18" s="190"/>
    </row>
    <row r="19" spans="1:32" x14ac:dyDescent="0.2">
      <c r="B19" s="63" t="s">
        <v>23</v>
      </c>
      <c r="D19" s="76" t="s">
        <v>11</v>
      </c>
      <c r="E19" s="342">
        <v>220</v>
      </c>
      <c r="F19" s="85" t="s">
        <v>24</v>
      </c>
      <c r="G19" s="87"/>
      <c r="H19" s="85"/>
      <c r="I19" s="85"/>
      <c r="J19" s="86"/>
    </row>
    <row r="20" spans="1:32" ht="14.25" customHeight="1" x14ac:dyDescent="0.2">
      <c r="J20" s="88"/>
      <c r="R20" s="485"/>
      <c r="S20" s="485"/>
      <c r="T20" s="26"/>
      <c r="U20" s="26"/>
      <c r="V20" s="26"/>
      <c r="W20" s="26"/>
      <c r="X20" s="355"/>
      <c r="Y20" s="355"/>
      <c r="Z20" s="355"/>
      <c r="AA20" s="355"/>
      <c r="AB20" s="355"/>
      <c r="AC20" s="355"/>
      <c r="AD20" s="355"/>
      <c r="AE20" s="355"/>
      <c r="AF20" s="355"/>
    </row>
    <row r="21" spans="1:32" ht="16.5" customHeight="1" x14ac:dyDescent="0.2">
      <c r="A21" s="75" t="s">
        <v>135</v>
      </c>
      <c r="B21" s="75" t="s">
        <v>27</v>
      </c>
      <c r="C21" s="75"/>
      <c r="D21" s="81"/>
      <c r="H21" s="89"/>
      <c r="J21" s="88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2" ht="15.75" customHeight="1" x14ac:dyDescent="0.2">
      <c r="B22" s="63" t="s">
        <v>28</v>
      </c>
      <c r="D22" s="76" t="s">
        <v>11</v>
      </c>
      <c r="E22" s="341" t="s">
        <v>136</v>
      </c>
      <c r="G22" s="90"/>
      <c r="H22" s="90"/>
      <c r="I22" s="90"/>
      <c r="U22" s="126"/>
      <c r="V22" s="486"/>
      <c r="W22" s="26"/>
      <c r="X22" s="26"/>
      <c r="Y22" s="26"/>
      <c r="Z22" s="26"/>
      <c r="AA22" s="26"/>
      <c r="AB22" s="26"/>
      <c r="AC22" s="26"/>
      <c r="AD22" s="26"/>
      <c r="AE22" s="26"/>
      <c r="AF22" s="26"/>
    </row>
    <row r="23" spans="1:32" x14ac:dyDescent="0.2">
      <c r="B23" s="63" t="s">
        <v>30</v>
      </c>
      <c r="D23" s="76" t="s">
        <v>11</v>
      </c>
      <c r="E23" s="341" t="s">
        <v>136</v>
      </c>
      <c r="G23" s="90"/>
      <c r="H23" s="90"/>
      <c r="I23" s="90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</row>
    <row r="24" spans="1:32" ht="14.25" customHeight="1" x14ac:dyDescent="0.2">
      <c r="H24" s="89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</row>
    <row r="25" spans="1:32" ht="16.5" x14ac:dyDescent="0.2">
      <c r="A25" s="75" t="str">
        <f>LK!A25</f>
        <v>III.</v>
      </c>
      <c r="B25" s="75" t="str">
        <f>LK!B25</f>
        <v>Hasil Pengujian Keselamatan Listrik</v>
      </c>
      <c r="C25" s="75"/>
      <c r="D25" s="81"/>
      <c r="H25" s="89"/>
      <c r="J25" s="88"/>
      <c r="R25" s="26"/>
      <c r="S25" s="26"/>
      <c r="T25" s="26"/>
      <c r="U25" s="26"/>
      <c r="V25" s="26"/>
      <c r="W25" s="26"/>
      <c r="X25" s="484"/>
      <c r="Y25" s="484"/>
      <c r="Z25" s="484"/>
      <c r="AA25" s="484"/>
      <c r="AB25" s="484"/>
      <c r="AC25" s="484"/>
      <c r="AD25" s="484"/>
      <c r="AE25" s="26"/>
      <c r="AF25" s="26"/>
    </row>
    <row r="26" spans="1:32" ht="30" customHeight="1" x14ac:dyDescent="0.2">
      <c r="B26" s="299" t="s">
        <v>91</v>
      </c>
      <c r="C26" s="1197" t="s">
        <v>34</v>
      </c>
      <c r="D26" s="1199"/>
      <c r="E26" s="1199"/>
      <c r="F26" s="1199"/>
      <c r="G26" s="1199"/>
      <c r="H26" s="1199"/>
      <c r="I26" s="1198"/>
      <c r="J26" s="1197" t="s">
        <v>35</v>
      </c>
      <c r="K26" s="1198"/>
      <c r="L26" s="1197" t="s">
        <v>36</v>
      </c>
      <c r="M26" s="1198"/>
      <c r="O26" s="91"/>
      <c r="Q26" s="1204" t="s">
        <v>137</v>
      </c>
      <c r="R26" s="1204"/>
      <c r="S26" s="1205" t="s">
        <v>43</v>
      </c>
      <c r="T26" s="1165" t="s">
        <v>50</v>
      </c>
      <c r="U26" s="27"/>
      <c r="V26" s="26"/>
      <c r="W26" s="26"/>
      <c r="X26" s="1070"/>
      <c r="Y26" s="1"/>
      <c r="Z26" s="1"/>
      <c r="AA26" s="1"/>
      <c r="AB26" s="1"/>
      <c r="AC26" s="1"/>
      <c r="AD26" s="1071"/>
      <c r="AE26" s="26"/>
      <c r="AF26" s="26"/>
    </row>
    <row r="27" spans="1:32" ht="18" customHeight="1" x14ac:dyDescent="0.2">
      <c r="B27" s="120">
        <v>1</v>
      </c>
      <c r="C27" s="22" t="s">
        <v>138</v>
      </c>
      <c r="D27" s="121"/>
      <c r="E27" s="121"/>
      <c r="F27" s="121"/>
      <c r="G27" s="121"/>
      <c r="H27" s="121"/>
      <c r="I27" s="327"/>
      <c r="J27" s="340" t="s">
        <v>570</v>
      </c>
      <c r="K27" s="507" t="s">
        <v>38</v>
      </c>
      <c r="L27" s="926">
        <v>2</v>
      </c>
      <c r="M27" s="927" t="s">
        <v>560</v>
      </c>
      <c r="O27" s="91"/>
      <c r="Q27" s="1204"/>
      <c r="R27" s="1204"/>
      <c r="S27" s="1205"/>
      <c r="T27" s="1165"/>
      <c r="U27" s="27"/>
      <c r="V27" s="26"/>
      <c r="W27" s="26"/>
      <c r="X27" s="1070"/>
      <c r="Y27" s="1"/>
      <c r="Z27" s="1"/>
      <c r="AA27" s="1"/>
      <c r="AB27" s="1"/>
      <c r="AC27" s="1"/>
      <c r="AD27" s="1071"/>
      <c r="AE27" s="26"/>
      <c r="AF27" s="26"/>
    </row>
    <row r="28" spans="1:32" ht="14.25" customHeight="1" x14ac:dyDescent="0.2">
      <c r="B28" s="317">
        <v>2</v>
      </c>
      <c r="C28" s="1200" t="s">
        <v>140</v>
      </c>
      <c r="D28" s="1201"/>
      <c r="E28" s="1201"/>
      <c r="F28" s="1201"/>
      <c r="G28" s="1201"/>
      <c r="H28" s="1201"/>
      <c r="I28" s="1202"/>
      <c r="J28" s="338">
        <v>0.12</v>
      </c>
      <c r="K28" s="508" t="s">
        <v>40</v>
      </c>
      <c r="L28" s="933">
        <f>PENYELIA!V29</f>
        <v>0.2</v>
      </c>
      <c r="M28" s="932" t="s">
        <v>40</v>
      </c>
      <c r="O28" s="93"/>
      <c r="Q28" s="15" t="s">
        <v>141</v>
      </c>
      <c r="R28" s="298" t="s">
        <v>142</v>
      </c>
      <c r="S28" s="598">
        <v>10</v>
      </c>
      <c r="T28" s="15">
        <v>100</v>
      </c>
      <c r="U28" s="26"/>
      <c r="V28" s="26"/>
      <c r="W28" s="26"/>
      <c r="X28" s="471"/>
      <c r="Y28" s="1"/>
      <c r="Z28" s="1"/>
      <c r="AA28" s="1"/>
      <c r="AB28" s="1"/>
      <c r="AC28" s="1"/>
      <c r="AD28" s="1071"/>
      <c r="AE28" s="26"/>
      <c r="AF28" s="26"/>
    </row>
    <row r="29" spans="1:32" ht="15.75" customHeight="1" x14ac:dyDescent="0.2">
      <c r="B29" s="94">
        <v>3</v>
      </c>
      <c r="C29" s="1195" t="s">
        <v>143</v>
      </c>
      <c r="D29" s="1196"/>
      <c r="E29" s="1196"/>
      <c r="F29" s="1196"/>
      <c r="G29" s="1196"/>
      <c r="H29" s="1196"/>
      <c r="I29" s="328"/>
      <c r="J29" s="339">
        <v>555</v>
      </c>
      <c r="K29" s="509" t="s">
        <v>43</v>
      </c>
      <c r="L29" s="935">
        <f>PENYELIA!V31</f>
        <v>500</v>
      </c>
      <c r="M29" s="934" t="s">
        <v>43</v>
      </c>
      <c r="P29" s="1072"/>
      <c r="R29" s="26"/>
      <c r="S29" s="26"/>
      <c r="T29" s="26"/>
      <c r="U29" s="26"/>
      <c r="V29" s="26"/>
      <c r="W29" s="26"/>
      <c r="X29" s="471"/>
      <c r="Y29" s="1"/>
      <c r="Z29" s="1"/>
      <c r="AA29" s="1"/>
      <c r="AB29" s="1"/>
      <c r="AC29" s="1"/>
      <c r="AD29" s="1071"/>
      <c r="AE29" s="26"/>
      <c r="AF29" s="26"/>
    </row>
    <row r="30" spans="1:32" ht="14.25" customHeight="1" x14ac:dyDescent="0.2">
      <c r="L30" s="1203"/>
      <c r="M30" s="1203"/>
    </row>
    <row r="31" spans="1:32" ht="15" x14ac:dyDescent="0.2">
      <c r="A31" s="75" t="str">
        <f>LK!A31</f>
        <v>IV.</v>
      </c>
      <c r="B31" s="75" t="str">
        <f>LK!B31</f>
        <v>Hasil Pengukuran Kinerja</v>
      </c>
      <c r="C31" s="75"/>
      <c r="D31" s="81"/>
      <c r="E31" s="75"/>
      <c r="F31" s="75"/>
      <c r="G31" s="75"/>
      <c r="H31" s="76"/>
      <c r="L31" s="77"/>
      <c r="M31" s="77"/>
      <c r="S31" s="1194" t="s">
        <v>144</v>
      </c>
      <c r="T31" s="1194"/>
      <c r="U31" s="1194"/>
      <c r="V31" s="1194"/>
      <c r="W31" s="1194"/>
      <c r="X31" s="1194"/>
      <c r="Y31" s="1194"/>
      <c r="Z31" s="1194"/>
      <c r="AA31" s="1194"/>
    </row>
    <row r="32" spans="1:32" ht="30" customHeight="1" x14ac:dyDescent="0.2">
      <c r="B32" s="1240" t="s">
        <v>47</v>
      </c>
      <c r="C32" s="1240" t="s">
        <v>34</v>
      </c>
      <c r="D32" s="1231" t="s">
        <v>48</v>
      </c>
      <c r="E32" s="1233"/>
      <c r="F32" s="1223" t="s">
        <v>49</v>
      </c>
      <c r="G32" s="1224"/>
      <c r="H32" s="1224"/>
      <c r="I32" s="1224"/>
      <c r="J32" s="1224"/>
      <c r="K32" s="1225"/>
      <c r="L32" s="1212" t="s">
        <v>50</v>
      </c>
      <c r="M32" s="1166"/>
      <c r="Q32" s="1211"/>
      <c r="R32" s="1211"/>
      <c r="S32" s="1206" t="s">
        <v>49</v>
      </c>
      <c r="T32" s="1206"/>
      <c r="U32" s="1206"/>
      <c r="V32" s="1206"/>
      <c r="W32" s="1206"/>
      <c r="X32" s="1206"/>
      <c r="Y32" s="1206" t="s">
        <v>145</v>
      </c>
      <c r="Z32" s="1208" t="s">
        <v>146</v>
      </c>
      <c r="AA32" s="1206" t="s">
        <v>147</v>
      </c>
    </row>
    <row r="33" spans="1:27" ht="18" customHeight="1" x14ac:dyDescent="0.2">
      <c r="B33" s="1241"/>
      <c r="C33" s="1241"/>
      <c r="D33" s="1234"/>
      <c r="E33" s="1236"/>
      <c r="F33" s="95" t="s">
        <v>51</v>
      </c>
      <c r="G33" s="95" t="s">
        <v>52</v>
      </c>
      <c r="H33" s="95" t="s">
        <v>53</v>
      </c>
      <c r="I33" s="95" t="s">
        <v>54</v>
      </c>
      <c r="J33" s="96" t="s">
        <v>55</v>
      </c>
      <c r="K33" s="97" t="s">
        <v>56</v>
      </c>
      <c r="L33" s="1212"/>
      <c r="M33" s="1166"/>
      <c r="Q33" s="1211"/>
      <c r="R33" s="1211"/>
      <c r="S33" s="97" t="s">
        <v>51</v>
      </c>
      <c r="T33" s="97" t="s">
        <v>52</v>
      </c>
      <c r="U33" s="97" t="s">
        <v>53</v>
      </c>
      <c r="V33" s="97" t="s">
        <v>54</v>
      </c>
      <c r="W33" s="97" t="s">
        <v>55</v>
      </c>
      <c r="X33" s="97" t="s">
        <v>56</v>
      </c>
      <c r="Y33" s="1206"/>
      <c r="Z33" s="1208"/>
      <c r="AA33" s="1206"/>
    </row>
    <row r="34" spans="1:27" ht="30" customHeight="1" x14ac:dyDescent="0.2">
      <c r="B34" s="120">
        <v>1</v>
      </c>
      <c r="C34" s="1228" t="s">
        <v>57</v>
      </c>
      <c r="D34" s="1238">
        <v>10</v>
      </c>
      <c r="E34" s="1239"/>
      <c r="F34" s="335">
        <v>10.11</v>
      </c>
      <c r="G34" s="335">
        <v>10.11</v>
      </c>
      <c r="H34" s="335">
        <v>10.130000000000001</v>
      </c>
      <c r="I34" s="335">
        <v>10.130000000000001</v>
      </c>
      <c r="J34" s="335">
        <v>10.14</v>
      </c>
      <c r="K34" s="335">
        <v>10.14</v>
      </c>
      <c r="L34" s="1214">
        <v>10</v>
      </c>
      <c r="M34" s="511"/>
      <c r="Q34" s="98"/>
      <c r="R34" s="99"/>
      <c r="S34" s="1073">
        <v>11</v>
      </c>
      <c r="T34" s="1073">
        <v>11</v>
      </c>
      <c r="U34" s="1073">
        <v>11</v>
      </c>
      <c r="V34" s="1073">
        <v>11</v>
      </c>
      <c r="W34" s="1073">
        <v>11</v>
      </c>
      <c r="X34" s="1073">
        <v>11</v>
      </c>
      <c r="Y34" s="286">
        <f>(11+11+11+11+11+11)/6</f>
        <v>11</v>
      </c>
      <c r="Z34" s="1074">
        <f>11+-0.02</f>
        <v>10.98</v>
      </c>
      <c r="AA34" s="1074">
        <f>10.98-10</f>
        <v>0.98000000000000043</v>
      </c>
    </row>
    <row r="35" spans="1:27" ht="30" customHeight="1" x14ac:dyDescent="0.2">
      <c r="B35" s="122">
        <v>2</v>
      </c>
      <c r="C35" s="1229"/>
      <c r="D35" s="1221">
        <v>50</v>
      </c>
      <c r="E35" s="1222"/>
      <c r="F35" s="336">
        <v>50.21</v>
      </c>
      <c r="G35" s="336">
        <v>50.21</v>
      </c>
      <c r="H35" s="336">
        <v>50.24</v>
      </c>
      <c r="I35" s="336">
        <v>50.24</v>
      </c>
      <c r="J35" s="336">
        <v>50.23</v>
      </c>
      <c r="K35" s="336">
        <v>50.23</v>
      </c>
      <c r="L35" s="1215"/>
      <c r="M35" s="511"/>
      <c r="Q35" s="98"/>
      <c r="R35" s="99"/>
      <c r="S35" s="1073">
        <v>50</v>
      </c>
      <c r="T35" s="1073">
        <v>50</v>
      </c>
      <c r="U35" s="1073">
        <v>50</v>
      </c>
      <c r="V35" s="1073">
        <v>50</v>
      </c>
      <c r="W35" s="1073">
        <v>50</v>
      </c>
      <c r="X35" s="1073">
        <v>50</v>
      </c>
      <c r="Y35" s="286">
        <f>(50+50+50+50+50+50)/6</f>
        <v>50</v>
      </c>
      <c r="Z35" s="1074">
        <f>50+-0.02</f>
        <v>49.98</v>
      </c>
      <c r="AA35" s="1074">
        <f>49.98-50</f>
        <v>-2.0000000000003126E-2</v>
      </c>
    </row>
    <row r="36" spans="1:27" ht="30" customHeight="1" x14ac:dyDescent="0.2">
      <c r="B36" s="122">
        <v>3</v>
      </c>
      <c r="C36" s="1229"/>
      <c r="D36" s="1221">
        <v>100</v>
      </c>
      <c r="E36" s="1222"/>
      <c r="F36" s="336">
        <v>100.09</v>
      </c>
      <c r="G36" s="336">
        <v>100.09</v>
      </c>
      <c r="H36" s="336">
        <v>100.08</v>
      </c>
      <c r="I36" s="336">
        <v>100.08</v>
      </c>
      <c r="J36" s="336">
        <v>100.05</v>
      </c>
      <c r="K36" s="336">
        <v>100.05</v>
      </c>
      <c r="L36" s="1215"/>
      <c r="M36" s="511"/>
      <c r="Q36" s="98"/>
      <c r="R36" s="99"/>
      <c r="S36" s="1073">
        <v>100</v>
      </c>
      <c r="T36" s="1073">
        <v>100</v>
      </c>
      <c r="U36" s="1073">
        <v>100</v>
      </c>
      <c r="V36" s="1073">
        <v>100</v>
      </c>
      <c r="W36" s="1073">
        <v>100</v>
      </c>
      <c r="X36" s="1073">
        <v>100</v>
      </c>
      <c r="Y36" s="286">
        <f>(100+100+100+100+100+100)/6</f>
        <v>100</v>
      </c>
      <c r="Z36" s="1074">
        <f>100+-0.01</f>
        <v>99.99</v>
      </c>
      <c r="AA36" s="1074">
        <f>99.99-100</f>
        <v>-1.0000000000005116E-2</v>
      </c>
    </row>
    <row r="37" spans="1:27" ht="30" customHeight="1" x14ac:dyDescent="0.2">
      <c r="B37" s="125">
        <v>4</v>
      </c>
      <c r="C37" s="1230"/>
      <c r="D37" s="1218">
        <v>500</v>
      </c>
      <c r="E37" s="1219"/>
      <c r="F37" s="337">
        <v>500.3</v>
      </c>
      <c r="G37" s="337">
        <v>500.3</v>
      </c>
      <c r="H37" s="337">
        <v>500.31</v>
      </c>
      <c r="I37" s="337">
        <v>500.31</v>
      </c>
      <c r="J37" s="337">
        <v>500.29</v>
      </c>
      <c r="K37" s="337">
        <v>500.29</v>
      </c>
      <c r="L37" s="1216"/>
      <c r="M37" s="511"/>
      <c r="Q37" s="98"/>
      <c r="R37" s="99"/>
      <c r="S37" s="1073">
        <v>500</v>
      </c>
      <c r="T37" s="1073">
        <v>500</v>
      </c>
      <c r="U37" s="1073">
        <v>500</v>
      </c>
      <c r="V37" s="1073">
        <v>500</v>
      </c>
      <c r="W37" s="1073">
        <v>500</v>
      </c>
      <c r="X37" s="1073">
        <v>500</v>
      </c>
      <c r="Y37" s="286">
        <f>(500+500+500+500+500+500)/6</f>
        <v>500</v>
      </c>
      <c r="Z37" s="1074">
        <f>500+0.04</f>
        <v>500.04</v>
      </c>
      <c r="AA37" s="1074">
        <f>500.04-500</f>
        <v>4.0000000000020464E-2</v>
      </c>
    </row>
    <row r="38" spans="1:27" ht="14.25" customHeight="1" x14ac:dyDescent="0.2">
      <c r="B38" s="92"/>
      <c r="C38" s="92"/>
      <c r="D38" s="100"/>
      <c r="E38" s="100"/>
      <c r="F38" s="101"/>
      <c r="G38" s="101"/>
      <c r="H38" s="101"/>
      <c r="I38" s="101"/>
      <c r="J38" s="101"/>
      <c r="K38" s="101"/>
      <c r="L38" s="102"/>
      <c r="M38" s="510"/>
      <c r="N38" s="103"/>
      <c r="O38" s="200"/>
      <c r="P38" s="200"/>
      <c r="Q38" s="98"/>
      <c r="R38" s="99"/>
      <c r="S38" s="193"/>
      <c r="T38" s="193"/>
    </row>
    <row r="39" spans="1:27" ht="30" customHeight="1" x14ac:dyDescent="0.2">
      <c r="B39" s="1240" t="str">
        <f>B32</f>
        <v>No</v>
      </c>
      <c r="C39" s="1231" t="str">
        <f>C32</f>
        <v>Parameter</v>
      </c>
      <c r="D39" s="1232"/>
      <c r="E39" s="1233"/>
      <c r="F39" s="1223" t="s">
        <v>49</v>
      </c>
      <c r="G39" s="1224"/>
      <c r="H39" s="1224"/>
      <c r="I39" s="1224"/>
      <c r="J39" s="1224"/>
      <c r="K39" s="1225"/>
      <c r="L39" s="1209" t="s">
        <v>50</v>
      </c>
      <c r="N39" s="1213"/>
      <c r="Q39" s="98"/>
      <c r="R39" s="99"/>
      <c r="S39" s="1207" t="s">
        <v>49</v>
      </c>
      <c r="T39" s="1207"/>
      <c r="U39" s="1207"/>
      <c r="V39" s="1207"/>
      <c r="W39" s="1207"/>
      <c r="X39" s="1207"/>
      <c r="Y39" s="1206" t="s">
        <v>145</v>
      </c>
      <c r="Z39" s="1208" t="s">
        <v>146</v>
      </c>
    </row>
    <row r="40" spans="1:27" ht="16.5" customHeight="1" x14ac:dyDescent="0.2">
      <c r="B40" s="1241"/>
      <c r="C40" s="1234"/>
      <c r="D40" s="1235"/>
      <c r="E40" s="1236"/>
      <c r="F40" s="95" t="s">
        <v>51</v>
      </c>
      <c r="G40" s="95" t="s">
        <v>52</v>
      </c>
      <c r="H40" s="95" t="s">
        <v>53</v>
      </c>
      <c r="I40" s="95" t="s">
        <v>54</v>
      </c>
      <c r="J40" s="96" t="s">
        <v>55</v>
      </c>
      <c r="K40" s="97" t="s">
        <v>56</v>
      </c>
      <c r="L40" s="1210"/>
      <c r="N40" s="1213"/>
      <c r="Q40" s="98"/>
      <c r="R40" s="99"/>
      <c r="S40" s="1075" t="s">
        <v>51</v>
      </c>
      <c r="T40" s="1075" t="s">
        <v>52</v>
      </c>
      <c r="U40" s="1075" t="s">
        <v>53</v>
      </c>
      <c r="V40" s="1076" t="s">
        <v>54</v>
      </c>
      <c r="W40" s="1076" t="s">
        <v>55</v>
      </c>
      <c r="X40" s="1075" t="s">
        <v>56</v>
      </c>
      <c r="Y40" s="1206"/>
      <c r="Z40" s="1208"/>
    </row>
    <row r="41" spans="1:27" ht="30" customHeight="1" x14ac:dyDescent="0.2">
      <c r="B41" s="124">
        <v>5</v>
      </c>
      <c r="C41" s="1208" t="s">
        <v>148</v>
      </c>
      <c r="D41" s="1208"/>
      <c r="E41" s="1208"/>
      <c r="F41" s="334">
        <v>10</v>
      </c>
      <c r="G41" s="334">
        <v>10</v>
      </c>
      <c r="H41" s="334">
        <v>10</v>
      </c>
      <c r="I41" s="334">
        <v>10</v>
      </c>
      <c r="J41" s="334">
        <v>10</v>
      </c>
      <c r="K41" s="334">
        <v>10</v>
      </c>
      <c r="L41" s="209">
        <v>20</v>
      </c>
      <c r="N41" s="126"/>
      <c r="Q41" s="98"/>
      <c r="R41" s="99"/>
      <c r="S41" s="1074">
        <v>10</v>
      </c>
      <c r="T41" s="1074">
        <v>10</v>
      </c>
      <c r="U41" s="1074">
        <v>10</v>
      </c>
      <c r="V41" s="1074">
        <v>10</v>
      </c>
      <c r="W41" s="1074">
        <v>10</v>
      </c>
      <c r="X41" s="1074">
        <v>10</v>
      </c>
      <c r="Y41" s="286">
        <f>(10+10+10+10+10+10)/6</f>
        <v>10</v>
      </c>
      <c r="Z41" s="286">
        <f>10+-0.08</f>
        <v>9.92</v>
      </c>
    </row>
    <row r="42" spans="1:27" ht="14.25" customHeight="1" x14ac:dyDescent="0.2">
      <c r="B42" s="104"/>
      <c r="C42" s="105"/>
      <c r="D42" s="105"/>
      <c r="E42" s="106"/>
      <c r="F42" s="103"/>
      <c r="G42" s="103"/>
      <c r="H42" s="103"/>
      <c r="I42" s="103"/>
      <c r="J42" s="103"/>
      <c r="K42" s="103"/>
      <c r="L42" s="107"/>
      <c r="M42" s="108"/>
      <c r="N42" s="107"/>
      <c r="O42" s="93"/>
      <c r="P42" s="93"/>
      <c r="Q42" s="98"/>
      <c r="R42" s="109"/>
    </row>
    <row r="43" spans="1:27" ht="15" x14ac:dyDescent="0.2">
      <c r="A43" s="111" t="str">
        <f>LK!A41</f>
        <v>V.</v>
      </c>
      <c r="B43" s="75" t="str">
        <f>LK!B41</f>
        <v>Keterangan</v>
      </c>
      <c r="C43" s="111"/>
      <c r="D43" s="81"/>
      <c r="E43" s="107"/>
      <c r="F43" s="1077"/>
      <c r="G43" s="1077"/>
      <c r="H43" s="1077"/>
      <c r="I43" s="1077"/>
      <c r="J43" s="1077"/>
      <c r="K43" s="1077"/>
      <c r="L43" s="1077"/>
      <c r="M43" s="1077"/>
      <c r="N43" s="76"/>
      <c r="O43" s="76"/>
      <c r="P43" s="76"/>
      <c r="Q43" s="112"/>
      <c r="R43" s="109"/>
    </row>
    <row r="44" spans="1:27" ht="15" customHeight="1" x14ac:dyDescent="0.2">
      <c r="A44" s="26"/>
      <c r="B44" s="17" t="s">
        <v>149</v>
      </c>
      <c r="C44" s="17"/>
      <c r="D44" s="27"/>
      <c r="E44" s="396"/>
      <c r="F44" s="409"/>
      <c r="G44" s="409"/>
      <c r="H44" s="409"/>
      <c r="I44" s="409"/>
      <c r="J44" s="409"/>
      <c r="K44" s="66"/>
      <c r="L44" s="66"/>
      <c r="M44" s="113"/>
      <c r="N44" s="113"/>
      <c r="O44" s="113"/>
      <c r="P44" s="113"/>
    </row>
    <row r="45" spans="1:27" ht="15" customHeight="1" x14ac:dyDescent="0.2">
      <c r="A45" s="26"/>
      <c r="B45" s="411" t="str">
        <f>'DB Kelistrikan'!N311</f>
        <v>Hasil pengukuran keselamatan listrik tertelusur ke Satuan Internasional ( SI ) melalui PT. Kaliman (LK-032-IDN)</v>
      </c>
      <c r="C45" s="17"/>
      <c r="D45" s="27"/>
      <c r="E45" s="396"/>
      <c r="F45" s="409"/>
      <c r="G45" s="409"/>
      <c r="H45" s="409"/>
      <c r="I45" s="409"/>
      <c r="J45" s="409"/>
      <c r="K45" s="66"/>
      <c r="L45" s="66"/>
      <c r="M45" s="113"/>
      <c r="N45" s="113"/>
      <c r="O45" s="113"/>
      <c r="P45" s="113"/>
    </row>
    <row r="46" spans="1:27" ht="15" customHeight="1" x14ac:dyDescent="0.2">
      <c r="A46" s="26"/>
      <c r="B46" s="411" t="str">
        <f>'DB IDA'!N495</f>
        <v>Hasil pengukuran flowrate tertelusur ke Satuan Internasional ( SI ) melalui PT. Kaliman (LK-032-IDN)</v>
      </c>
      <c r="C46" s="17"/>
      <c r="D46" s="27"/>
      <c r="E46" s="396"/>
      <c r="F46" s="409"/>
      <c r="G46" s="409"/>
      <c r="H46" s="409"/>
      <c r="I46" s="409"/>
      <c r="J46" s="409"/>
      <c r="K46" s="66"/>
      <c r="L46" s="66"/>
      <c r="M46" s="113"/>
      <c r="N46" s="113"/>
      <c r="O46" s="113"/>
      <c r="P46" s="113"/>
    </row>
    <row r="47" spans="1:27" ht="15" customHeight="1" x14ac:dyDescent="0.2">
      <c r="A47" s="26"/>
      <c r="B47" s="411" t="str">
        <f>'DB IDA'!N532</f>
        <v>Hasil pengukuran Occlusion tertelusur ke Satuan Internasional ( SI ) melalui PT. Kaliman (LK-032-IDN)</v>
      </c>
      <c r="C47" s="17"/>
      <c r="D47" s="27"/>
      <c r="E47" s="396"/>
      <c r="F47" s="409"/>
      <c r="G47" s="409"/>
      <c r="H47" s="409"/>
      <c r="I47" s="409"/>
      <c r="J47" s="409"/>
      <c r="K47" s="66"/>
      <c r="L47" s="66"/>
      <c r="M47" s="113"/>
      <c r="N47" s="113"/>
      <c r="O47" s="113"/>
      <c r="P47" s="113"/>
    </row>
    <row r="48" spans="1:27" ht="15" customHeight="1" x14ac:dyDescent="0.2">
      <c r="B48" s="1243" t="s">
        <v>460</v>
      </c>
      <c r="C48" s="1243"/>
      <c r="D48" s="1243"/>
      <c r="E48" s="1243"/>
      <c r="F48" s="1243"/>
      <c r="G48" s="1243"/>
      <c r="H48" s="1243"/>
      <c r="I48" s="1243"/>
      <c r="J48" s="411"/>
      <c r="K48" s="90"/>
      <c r="L48" s="90"/>
      <c r="M48" s="113"/>
      <c r="N48" s="113"/>
      <c r="O48" s="113"/>
      <c r="P48" s="113"/>
    </row>
    <row r="49" spans="1:16" x14ac:dyDescent="0.2">
      <c r="B49" s="114" t="s">
        <v>151</v>
      </c>
      <c r="C49" s="114"/>
      <c r="D49" s="1220" t="s">
        <v>500</v>
      </c>
      <c r="E49" s="1220"/>
      <c r="F49" s="1220"/>
      <c r="G49" s="1077"/>
      <c r="H49" s="1077"/>
      <c r="I49" s="1077"/>
      <c r="J49" s="1077"/>
      <c r="K49" s="115"/>
      <c r="L49" s="115"/>
      <c r="M49" s="116"/>
      <c r="N49" s="113"/>
      <c r="O49" s="113"/>
      <c r="P49" s="113"/>
    </row>
    <row r="50" spans="1:16" x14ac:dyDescent="0.2">
      <c r="B50" s="411" t="str">
        <f>PENYELIA!W23</f>
        <v>Alat tidak boleh digunakan pada instalasi tanpa dilengkapi grounding</v>
      </c>
      <c r="C50" s="411"/>
      <c r="D50" s="411"/>
      <c r="E50" s="411"/>
      <c r="F50" s="411"/>
      <c r="G50" s="411"/>
      <c r="H50" s="411"/>
      <c r="I50" s="411"/>
      <c r="J50" s="411"/>
      <c r="K50" s="116"/>
      <c r="L50" s="115"/>
      <c r="M50" s="116"/>
      <c r="N50" s="113"/>
      <c r="O50" s="113"/>
      <c r="P50" s="113"/>
    </row>
    <row r="51" spans="1:16" x14ac:dyDescent="0.2">
      <c r="B51" s="296"/>
      <c r="C51" s="297"/>
      <c r="D51" s="297"/>
      <c r="E51" s="297"/>
      <c r="F51" s="297"/>
      <c r="G51" s="297"/>
      <c r="H51" s="297"/>
      <c r="I51" s="297"/>
      <c r="J51" s="297"/>
      <c r="K51" s="116"/>
      <c r="L51" s="115"/>
      <c r="M51" s="116"/>
      <c r="N51" s="113"/>
      <c r="O51" s="113"/>
      <c r="P51" s="113"/>
    </row>
    <row r="52" spans="1:16" x14ac:dyDescent="0.2">
      <c r="B52" s="1226" t="s">
        <v>153</v>
      </c>
      <c r="C52" s="1226"/>
      <c r="D52" s="1226"/>
      <c r="E52" s="1226"/>
      <c r="F52" s="1226"/>
      <c r="G52" s="1226"/>
      <c r="H52" s="1226"/>
      <c r="I52" s="1226"/>
      <c r="J52" s="1226"/>
      <c r="K52" s="116"/>
      <c r="L52" s="115"/>
      <c r="M52" s="116"/>
      <c r="N52" s="113"/>
      <c r="O52" s="113"/>
      <c r="P52" s="113"/>
    </row>
    <row r="53" spans="1:16" ht="15" x14ac:dyDescent="0.2">
      <c r="A53" s="111" t="str">
        <f>LK!A48</f>
        <v>VI.</v>
      </c>
      <c r="B53" s="111" t="str">
        <f>LK!B48</f>
        <v>Alat Ukur Yang Digunakan</v>
      </c>
      <c r="C53" s="111"/>
      <c r="D53" s="81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</row>
    <row r="54" spans="1:16" x14ac:dyDescent="0.2">
      <c r="B54" s="1237" t="s">
        <v>382</v>
      </c>
      <c r="C54" s="1237"/>
      <c r="D54" s="1237"/>
      <c r="E54" s="1237"/>
      <c r="F54" s="1237"/>
      <c r="G54" s="1237"/>
      <c r="H54" s="1237"/>
      <c r="I54" s="1237"/>
      <c r="J54" s="1237"/>
      <c r="K54" s="1237"/>
      <c r="L54" s="1237"/>
      <c r="M54" s="76"/>
      <c r="N54" s="76"/>
      <c r="O54" s="76"/>
      <c r="P54" s="76"/>
    </row>
    <row r="55" spans="1:16" x14ac:dyDescent="0.2">
      <c r="B55" s="411" t="str">
        <f>'DB IDA'!A460</f>
        <v>Infusion Devices Analyzer, Merek : Fluke, Model : IDA 5, SN : 5157005</v>
      </c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76"/>
      <c r="N55" s="76"/>
      <c r="O55" s="76"/>
      <c r="P55" s="76"/>
    </row>
    <row r="56" spans="1:16" x14ac:dyDescent="0.2">
      <c r="B56" s="1227" t="s">
        <v>155</v>
      </c>
      <c r="C56" s="1227"/>
      <c r="D56" s="1227"/>
      <c r="E56" s="1227"/>
      <c r="F56" s="1227"/>
      <c r="G56" s="1227"/>
      <c r="H56" s="1227"/>
      <c r="I56" s="1227"/>
      <c r="J56" s="1227"/>
      <c r="K56" s="1227"/>
      <c r="L56" s="1227"/>
      <c r="M56" s="76"/>
      <c r="N56" s="76"/>
      <c r="O56" s="76"/>
      <c r="P56" s="76"/>
    </row>
    <row r="57" spans="1:16" ht="14.25" customHeight="1" x14ac:dyDescent="0.2">
      <c r="B57" s="111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</row>
    <row r="58" spans="1:16" ht="15" x14ac:dyDescent="0.2">
      <c r="A58" s="111" t="s">
        <v>89</v>
      </c>
      <c r="B58" s="110" t="s">
        <v>156</v>
      </c>
      <c r="C58" s="110"/>
      <c r="D58" s="117"/>
    </row>
    <row r="59" spans="1:16" ht="14.25" customHeight="1" x14ac:dyDescent="0.2">
      <c r="B59" s="1242" t="str">
        <f>'DB IDA'!A544</f>
        <v>Alat yang dikalibrasi dalam batas toleransi dan dinyatakan LAIK PAKAI, dimana hasil atau skor akhir sama dengan atau melampaui 70% berdasarkan Keputusan Direktur Jenderal Pelayanan Kesehatan No : HK.02.02/V/0412/2020.</v>
      </c>
      <c r="C59" s="1242"/>
      <c r="D59" s="1242"/>
      <c r="E59" s="1242"/>
      <c r="F59" s="1242"/>
      <c r="G59" s="1242"/>
      <c r="H59" s="1242"/>
      <c r="I59" s="1242"/>
      <c r="J59" s="1242"/>
      <c r="K59" s="1242"/>
      <c r="L59" s="1242"/>
      <c r="M59" s="1242"/>
      <c r="N59" s="275"/>
    </row>
    <row r="60" spans="1:16" x14ac:dyDescent="0.2">
      <c r="B60" s="1242"/>
      <c r="C60" s="1242"/>
      <c r="D60" s="1242"/>
      <c r="E60" s="1242"/>
      <c r="F60" s="1242"/>
      <c r="G60" s="1242"/>
      <c r="H60" s="1242"/>
      <c r="I60" s="1242"/>
      <c r="J60" s="1242"/>
      <c r="K60" s="1242"/>
      <c r="L60" s="1242"/>
      <c r="M60" s="1242"/>
      <c r="N60" s="275"/>
    </row>
    <row r="61" spans="1:16" ht="14.25" customHeight="1" x14ac:dyDescent="0.2">
      <c r="C61" s="114"/>
      <c r="F61" s="90"/>
      <c r="G61" s="90"/>
      <c r="H61" s="90"/>
      <c r="I61" s="90"/>
      <c r="J61" s="90"/>
    </row>
    <row r="62" spans="1:16" ht="15" x14ac:dyDescent="0.2">
      <c r="A62" s="111" t="s">
        <v>157</v>
      </c>
      <c r="B62" s="110" t="s">
        <v>90</v>
      </c>
      <c r="C62" s="110"/>
      <c r="D62" s="117"/>
      <c r="N62" s="118"/>
    </row>
    <row r="63" spans="1:16" x14ac:dyDescent="0.2">
      <c r="B63" s="1227" t="s">
        <v>158</v>
      </c>
      <c r="C63" s="1227"/>
      <c r="D63" s="1227"/>
      <c r="E63" s="1227"/>
    </row>
    <row r="64" spans="1:16" ht="14.25" customHeight="1" x14ac:dyDescent="0.2"/>
    <row r="65" spans="1:4" ht="15" x14ac:dyDescent="0.2">
      <c r="A65" s="75" t="s">
        <v>159</v>
      </c>
      <c r="B65" s="75" t="s">
        <v>160</v>
      </c>
      <c r="C65" s="75"/>
      <c r="D65" s="81"/>
    </row>
    <row r="66" spans="1:4" x14ac:dyDescent="0.2">
      <c r="B66" s="1217" t="s">
        <v>161</v>
      </c>
      <c r="C66" s="1217"/>
    </row>
    <row r="111" spans="12:12" x14ac:dyDescent="0.2">
      <c r="L111" s="119"/>
    </row>
    <row r="133" spans="4:7" x14ac:dyDescent="0.2">
      <c r="D133" s="1078"/>
    </row>
    <row r="134" spans="4:7" x14ac:dyDescent="0.2">
      <c r="D134" s="1078"/>
    </row>
    <row r="139" spans="4:7" x14ac:dyDescent="0.2">
      <c r="G139" s="80"/>
    </row>
    <row r="140" spans="4:7" x14ac:dyDescent="0.2">
      <c r="G140" s="80"/>
    </row>
    <row r="141" spans="4:7" x14ac:dyDescent="0.2">
      <c r="G141" s="80"/>
    </row>
    <row r="142" spans="4:7" x14ac:dyDescent="0.2">
      <c r="G142" s="80"/>
    </row>
    <row r="143" spans="4:7" x14ac:dyDescent="0.2">
      <c r="G143" s="80"/>
    </row>
    <row r="149" spans="1:10" x14ac:dyDescent="0.2">
      <c r="A149" s="63" t="s">
        <v>162</v>
      </c>
      <c r="G149" s="1079"/>
    </row>
    <row r="150" spans="1:10" x14ac:dyDescent="0.2">
      <c r="G150" s="1080"/>
    </row>
    <row r="151" spans="1:10" x14ac:dyDescent="0.2">
      <c r="G151" s="1080"/>
    </row>
    <row r="152" spans="1:10" x14ac:dyDescent="0.2">
      <c r="G152" s="1080"/>
    </row>
    <row r="153" spans="1:10" x14ac:dyDescent="0.2">
      <c r="G153" s="1079"/>
    </row>
    <row r="154" spans="1:10" x14ac:dyDescent="0.2">
      <c r="G154" s="1080"/>
    </row>
    <row r="158" spans="1:10" x14ac:dyDescent="0.2">
      <c r="J158" s="114"/>
    </row>
    <row r="159" spans="1:10" x14ac:dyDescent="0.2">
      <c r="J159" s="114"/>
    </row>
  </sheetData>
  <sheetProtection formatCells="0" formatColumns="0" formatRows="0" insertColumns="0" insertRows="0" deleteColumns="0" deleteRows="0"/>
  <mergeCells count="48">
    <mergeCell ref="B48:I48"/>
    <mergeCell ref="A1:N1"/>
    <mergeCell ref="E9:G9"/>
    <mergeCell ref="E10:G10"/>
    <mergeCell ref="B32:B33"/>
    <mergeCell ref="C32:C33"/>
    <mergeCell ref="F32:K32"/>
    <mergeCell ref="D32:E33"/>
    <mergeCell ref="F2:H2"/>
    <mergeCell ref="B66:C66"/>
    <mergeCell ref="D37:E37"/>
    <mergeCell ref="D49:F49"/>
    <mergeCell ref="C41:E41"/>
    <mergeCell ref="D36:E36"/>
    <mergeCell ref="F39:K39"/>
    <mergeCell ref="B52:J52"/>
    <mergeCell ref="B63:E63"/>
    <mergeCell ref="B56:L56"/>
    <mergeCell ref="C34:C37"/>
    <mergeCell ref="C39:E40"/>
    <mergeCell ref="B54:L54"/>
    <mergeCell ref="D34:E34"/>
    <mergeCell ref="B39:B40"/>
    <mergeCell ref="B59:M60"/>
    <mergeCell ref="D35:E35"/>
    <mergeCell ref="AA32:AA33"/>
    <mergeCell ref="S39:X39"/>
    <mergeCell ref="Y39:Y40"/>
    <mergeCell ref="Z39:Z40"/>
    <mergeCell ref="L39:L40"/>
    <mergeCell ref="Q32:R33"/>
    <mergeCell ref="M32:M33"/>
    <mergeCell ref="L32:L33"/>
    <mergeCell ref="N39:N40"/>
    <mergeCell ref="L34:L37"/>
    <mergeCell ref="S32:X32"/>
    <mergeCell ref="Y32:Y33"/>
    <mergeCell ref="Z32:Z33"/>
    <mergeCell ref="S31:AA31"/>
    <mergeCell ref="C29:H29"/>
    <mergeCell ref="J26:K26"/>
    <mergeCell ref="L26:M26"/>
    <mergeCell ref="C26:I26"/>
    <mergeCell ref="C28:I28"/>
    <mergeCell ref="L30:M30"/>
    <mergeCell ref="T26:T27"/>
    <mergeCell ref="Q26:R27"/>
    <mergeCell ref="S26:S27"/>
  </mergeCells>
  <dataValidations count="1">
    <dataValidation type="list" allowBlank="1" showInputMessage="1" showErrorMessage="1" sqref="P29" xr:uid="{4E2E3D38-F698-4871-8F76-E54FA90499FE}">
      <formula1>#REF!</formula1>
    </dataValidation>
  </dataValidations>
  <printOptions horizontalCentered="1"/>
  <pageMargins left="0.23622047244094499" right="0.196850393700787" top="0.511811023622047" bottom="0.31496062992126" header="0.23622047244094499" footer="0.23622047244094499"/>
  <pageSetup paperSize="9" scale="70" orientation="portrait" horizontalDpi="4294967294" verticalDpi="4294967294" r:id="rId1"/>
  <headerFooter>
    <oddHeader xml:space="preserve">&amp;R&amp;"-,Regular"&amp;8FV.027-18
</oddHeader>
    <oddFooter>&amp;R&amp;8&amp;K00-013Software Infusion Pump 2019</oddFooter>
  </headerFooter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100-000005000000}">
          <x14:formula1>
            <xm:f>'DB Thermohygro'!$A$390:$A$409</xm:f>
          </x14:formula1>
          <xm:sqref>B56:L56</xm:sqref>
        </x14:dataValidation>
        <x14:dataValidation type="list" allowBlank="1" showInputMessage="1" showErrorMessage="1" xr:uid="{00000000-0002-0000-0100-000004000000}">
          <x14:formula1>
            <xm:f>'DB Kelistrikan'!$A$299:$A$307</xm:f>
          </x14:formula1>
          <xm:sqref>B54:L54</xm:sqref>
        </x14:dataValidation>
        <x14:dataValidation type="list" allowBlank="1" showInputMessage="1" showErrorMessage="1" xr:uid="{00000000-0002-0000-0100-000001000000}">
          <x14:formula1>
            <xm:f>'DB IDA'!$A$512:$A$513</xm:f>
          </x14:formula1>
          <xm:sqref>E23</xm:sqref>
        </x14:dataValidation>
        <x14:dataValidation type="list" allowBlank="1" showInputMessage="1" showErrorMessage="1" xr:uid="{F0AECD64-A382-4EC1-90D0-0A94AA2597E7}">
          <x14:formula1>
            <xm:f>'DB IDA'!$A$424:$A$457</xm:f>
          </x14:formula1>
          <xm:sqref>B48 J48</xm:sqref>
        </x14:dataValidation>
        <x14:dataValidation type="list" allowBlank="1" showInputMessage="1" showErrorMessage="1" xr:uid="{E5E574AC-802A-48B4-B5F9-500EAD1C83F3}">
          <x14:formula1>
            <xm:f>'DB IDA'!$A$515:$A$529</xm:f>
          </x14:formula1>
          <xm:sqref>D49:F49</xm:sqref>
        </x14:dataValidation>
        <x14:dataValidation type="list" allowBlank="1" showInputMessage="1" showErrorMessage="1" xr:uid="{DE095183-AFB9-4762-9E42-017FCC88EBED}">
          <x14:formula1>
            <xm:f>'DB IDA'!$A$509:$A$510</xm:f>
          </x14:formula1>
          <xm:sqref>E22</xm:sqref>
        </x14:dataValidation>
        <x14:dataValidation type="list" allowBlank="1" showInputMessage="1" xr:uid="{992FC9F2-1734-4999-835B-41FC96CECD03}">
          <x14:formula1>
            <xm:f>'DB IDA'!$A$548:$A$558</xm:f>
          </x14:formula1>
          <xm:sqref>C7</xm:sqref>
        </x14:dataValidation>
        <x14:dataValidation type="list" allowBlank="1" showInputMessage="1" showErrorMessage="1" xr:uid="{3409F2E6-F20F-4317-A14E-3C6BC0ABA7CB}">
          <x14:formula1>
            <xm:f>PENYELIA!$W$31:$W$32</xm:f>
          </x14:formula1>
          <xm:sqref>C29:H29</xm:sqref>
        </x14:dataValidation>
        <x14:dataValidation type="list" allowBlank="1" showInputMessage="1" showErrorMessage="1" xr:uid="{F60FDE11-7C90-4351-8B31-AEFBB1454826}">
          <x14:formula1>
            <xm:f>PENYELIA!$W$29:$W$30</xm:f>
          </x14:formula1>
          <xm:sqref>C28:I28</xm:sqref>
        </x14:dataValidation>
        <x14:dataValidation type="list" allowBlank="1" showInputMessage="1" showErrorMessage="1" xr:uid="{8D43A8AF-5B2E-424A-983B-9ADC9CAA7B28}">
          <x14:formula1>
            <xm:f>PENYELIA!$T$30:$T$31</xm:f>
          </x14:formula1>
          <xm:sqref>Q26:R27</xm:sqref>
        </x14:dataValidation>
        <x14:dataValidation type="list" allowBlank="1" showInputMessage="1" xr:uid="{4DDA8ADF-BA36-47E5-BB4F-8A1036E20344}">
          <x14:formula1>
            <xm:f>'DB IDA'!$D$548:$D$558</xm:f>
          </x14:formula1>
          <xm:sqref>C8</xm:sqref>
        </x14:dataValidation>
        <x14:dataValidation type="list" allowBlank="1" showInputMessage="1" xr:uid="{2A9690E2-78EC-4A2E-8DAF-AC8978D4CCC0}">
          <x14:formula1>
            <xm:f>'DB IDA'!$B$548:$B$552</xm:f>
          </x14:formula1>
          <xm:sqref>E7</xm:sqref>
        </x14:dataValidation>
        <x14:dataValidation type="list" allowBlank="1" showInputMessage="1" showErrorMessage="1" xr:uid="{6DD395AF-CC2F-4FC7-AFEE-C19BEDF196F2}">
          <x14:formula1>
            <xm:f>'DB IDA'!$B$548:$B$552</xm:f>
          </x14:formula1>
          <xm:sqref>E8</xm:sqref>
        </x14:dataValidation>
        <x14:dataValidation type="list" allowBlank="1" showInputMessage="1" showErrorMessage="1" xr:uid="{00000000-0002-0000-0100-000009000000}">
          <x14:formula1>
            <xm:f>'DB IDA'!$F$496:$F$520</xm:f>
          </x14:formula1>
          <xm:sqref>B63:E63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Y122"/>
  <sheetViews>
    <sheetView showGridLines="0" view="pageBreakPreview" zoomScale="85" zoomScaleNormal="100" zoomScaleSheetLayoutView="85" workbookViewId="0">
      <selection activeCell="B42" sqref="B42"/>
    </sheetView>
  </sheetViews>
  <sheetFormatPr defaultColWidth="9.140625" defaultRowHeight="15" customHeight="1" x14ac:dyDescent="0.2"/>
  <cols>
    <col min="1" max="1" width="5.42578125" style="63" customWidth="1"/>
    <col min="2" max="2" width="4.85546875" style="63" customWidth="1"/>
    <col min="3" max="3" width="16.5703125" style="63" customWidth="1"/>
    <col min="4" max="4" width="2.140625" style="63" customWidth="1"/>
    <col min="5" max="5" width="11.42578125" style="63" customWidth="1"/>
    <col min="6" max="6" width="12.5703125" style="63" customWidth="1"/>
    <col min="7" max="7" width="11.28515625" style="63" customWidth="1"/>
    <col min="8" max="8" width="9.85546875" style="63" customWidth="1"/>
    <col min="9" max="9" width="7.42578125" style="63" customWidth="1"/>
    <col min="10" max="10" width="8.42578125" style="63" customWidth="1"/>
    <col min="11" max="11" width="8.140625" style="63" customWidth="1"/>
    <col min="12" max="12" width="13.28515625" style="63" customWidth="1"/>
    <col min="13" max="13" width="7.5703125" style="63" customWidth="1"/>
    <col min="14" max="16384" width="9.140625" style="63"/>
  </cols>
  <sheetData>
    <row r="1" spans="1:14" ht="15" customHeight="1" x14ac:dyDescent="0.2">
      <c r="A1" s="1104" t="str">
        <f>PENYELIA!A1:Q1</f>
        <v>Hasil Kalibrasi Infusion Pump</v>
      </c>
      <c r="B1" s="1104"/>
      <c r="C1" s="1104"/>
      <c r="D1" s="1104"/>
      <c r="E1" s="1104"/>
      <c r="F1" s="1104"/>
      <c r="G1" s="1104"/>
      <c r="H1" s="1104"/>
      <c r="I1" s="1104"/>
      <c r="J1" s="1104"/>
      <c r="K1" s="1104"/>
      <c r="L1" s="1104"/>
      <c r="M1" s="74"/>
      <c r="N1" s="74"/>
    </row>
    <row r="2" spans="1:14" ht="15" customHeight="1" x14ac:dyDescent="0.2">
      <c r="A2" s="1252" t="str">
        <f>PENYELIA!A2</f>
        <v>Nomor Sertifikat : 29 / 9 / III - 22 / E - 000.01 DL</v>
      </c>
      <c r="B2" s="1252"/>
      <c r="C2" s="1252"/>
      <c r="D2" s="1252"/>
      <c r="E2" s="1252"/>
      <c r="F2" s="1252"/>
      <c r="G2" s="1252"/>
      <c r="H2" s="1252"/>
      <c r="I2" s="1252"/>
      <c r="J2" s="1252"/>
      <c r="K2" s="1252"/>
      <c r="L2" s="1252"/>
    </row>
    <row r="3" spans="1:14" ht="15" customHeight="1" x14ac:dyDescent="0.2">
      <c r="A3" s="410"/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</row>
    <row r="4" spans="1:14" ht="15" customHeight="1" x14ac:dyDescent="0.2">
      <c r="A4" s="410"/>
      <c r="B4" s="410"/>
      <c r="C4" s="410"/>
      <c r="D4" s="410"/>
      <c r="E4" s="410"/>
      <c r="F4" s="410"/>
      <c r="G4" s="410"/>
      <c r="H4" s="410"/>
      <c r="I4" s="410"/>
      <c r="J4" s="410"/>
      <c r="K4" s="410"/>
      <c r="L4" s="410"/>
    </row>
    <row r="5" spans="1:14" ht="15" customHeight="1" x14ac:dyDescent="0.2">
      <c r="A5" s="26" t="str">
        <f>PENYELIA!A4</f>
        <v>Merek</v>
      </c>
      <c r="B5" s="26"/>
      <c r="C5" s="26"/>
      <c r="D5" s="27" t="str">
        <f>PENYELIA!D4</f>
        <v>:</v>
      </c>
      <c r="E5" s="966" t="str">
        <f>PENYELIA!E4</f>
        <v>Bbraun</v>
      </c>
      <c r="F5" s="17"/>
      <c r="G5" s="17"/>
      <c r="H5" s="26"/>
      <c r="I5" s="26"/>
      <c r="J5" s="26"/>
      <c r="K5" s="26"/>
      <c r="L5" s="353"/>
    </row>
    <row r="6" spans="1:14" ht="15" customHeight="1" x14ac:dyDescent="0.2">
      <c r="A6" s="26" t="str">
        <f>PENYELIA!A5</f>
        <v>Model/Tipe</v>
      </c>
      <c r="B6" s="26"/>
      <c r="C6" s="26"/>
      <c r="D6" s="27" t="str">
        <f>PENYELIA!D5</f>
        <v>:</v>
      </c>
      <c r="E6" s="966" t="str">
        <f>PENYELIA!E5</f>
        <v>B</v>
      </c>
      <c r="F6" s="17"/>
      <c r="G6" s="17"/>
      <c r="H6" s="26"/>
      <c r="I6" s="26"/>
      <c r="J6" s="26"/>
      <c r="K6" s="26"/>
      <c r="L6" s="353"/>
    </row>
    <row r="7" spans="1:14" ht="15" customHeight="1" x14ac:dyDescent="0.2">
      <c r="A7" s="26" t="str">
        <f>PENYELIA!A6</f>
        <v>No. Seri</v>
      </c>
      <c r="B7" s="26"/>
      <c r="C7" s="26"/>
      <c r="D7" s="27" t="str">
        <f>PENYELIA!D6</f>
        <v>:</v>
      </c>
      <c r="E7" s="1261" t="str">
        <f>PENYELIA!E6</f>
        <v>C</v>
      </c>
      <c r="F7" s="1182"/>
      <c r="G7" s="1182"/>
      <c r="H7" s="26"/>
      <c r="I7" s="26"/>
      <c r="J7" s="26"/>
      <c r="K7" s="26"/>
      <c r="L7" s="353"/>
    </row>
    <row r="8" spans="1:14" ht="15" customHeight="1" x14ac:dyDescent="0.2">
      <c r="A8" s="26" t="str">
        <f>PENYELIA!A7</f>
        <v>Resolusi</v>
      </c>
      <c r="B8" s="26"/>
      <c r="C8" s="1081" t="str">
        <f>PENYELIA!C7</f>
        <v>(10 - 50) mL/h</v>
      </c>
      <c r="D8" s="27" t="str">
        <f>PENYELIA!D7</f>
        <v>:</v>
      </c>
      <c r="E8" s="1082">
        <f>PENYELIA!E7</f>
        <v>0.01</v>
      </c>
      <c r="F8" s="26" t="str">
        <f>PENYELIA!F7</f>
        <v>ml/h</v>
      </c>
      <c r="G8" s="17"/>
      <c r="H8" s="26"/>
      <c r="I8" s="26"/>
      <c r="J8" s="26"/>
      <c r="K8" s="26"/>
      <c r="L8" s="353"/>
    </row>
    <row r="9" spans="1:14" ht="15" customHeight="1" x14ac:dyDescent="0.2">
      <c r="A9" s="26"/>
      <c r="B9" s="26"/>
      <c r="C9" s="1081" t="str">
        <f>PENYELIA!C8</f>
        <v>(100 - 500) mL/h</v>
      </c>
      <c r="D9" s="27"/>
      <c r="E9" s="1082">
        <f>PENYELIA!E8</f>
        <v>0.1</v>
      </c>
      <c r="F9" s="26" t="str">
        <f>PENYELIA!F8</f>
        <v>ml/h</v>
      </c>
      <c r="G9" s="17"/>
      <c r="H9" s="26"/>
      <c r="I9" s="26"/>
      <c r="J9" s="26"/>
      <c r="K9" s="26"/>
      <c r="L9" s="353"/>
    </row>
    <row r="10" spans="1:14" ht="14.25" x14ac:dyDescent="0.2">
      <c r="A10" s="26" t="str">
        <f>PENYELIA!A9</f>
        <v>Tanggal Penerimaan Alat</v>
      </c>
      <c r="B10" s="26"/>
      <c r="C10" s="26"/>
      <c r="D10" s="27" t="str">
        <f>PENYELIA!D9</f>
        <v>:</v>
      </c>
      <c r="E10" s="1189">
        <f>PENYELIA!E9</f>
        <v>44483</v>
      </c>
      <c r="F10" s="1189"/>
      <c r="G10" s="17"/>
      <c r="H10" s="26"/>
      <c r="I10" s="26"/>
      <c r="J10" s="26"/>
      <c r="K10" s="26"/>
      <c r="L10" s="353"/>
    </row>
    <row r="11" spans="1:14" ht="15" customHeight="1" x14ac:dyDescent="0.2">
      <c r="A11" s="26" t="str">
        <f>PENYELIA!A10</f>
        <v>Tanggal Kalibrasi</v>
      </c>
      <c r="B11" s="26"/>
      <c r="C11" s="26"/>
      <c r="D11" s="27" t="str">
        <f>PENYELIA!D10</f>
        <v>:</v>
      </c>
      <c r="E11" s="1189">
        <f>PENYELIA!E10</f>
        <v>44483</v>
      </c>
      <c r="F11" s="1189"/>
      <c r="G11" s="17"/>
      <c r="H11" s="26"/>
      <c r="I11" s="26"/>
      <c r="J11" s="26"/>
      <c r="K11" s="26"/>
      <c r="L11" s="353"/>
    </row>
    <row r="12" spans="1:14" ht="15" customHeight="1" x14ac:dyDescent="0.2">
      <c r="A12" s="26" t="str">
        <f>PENYELIA!A11</f>
        <v>Tempat Kalibrasi</v>
      </c>
      <c r="B12" s="26"/>
      <c r="C12" s="26"/>
      <c r="D12" s="27" t="str">
        <f>PENYELIA!D11</f>
        <v>:</v>
      </c>
      <c r="E12" s="966" t="str">
        <f>PENYELIA!E11</f>
        <v>D</v>
      </c>
      <c r="F12" s="17"/>
      <c r="G12" s="17"/>
      <c r="H12" s="26"/>
      <c r="I12" s="26"/>
      <c r="J12" s="26"/>
      <c r="K12" s="26"/>
      <c r="L12" s="353"/>
    </row>
    <row r="13" spans="1:14" ht="15" customHeight="1" x14ac:dyDescent="0.2">
      <c r="A13" s="26" t="str">
        <f>PENYELIA!A12</f>
        <v>Nama Ruang</v>
      </c>
      <c r="B13" s="26"/>
      <c r="C13" s="26"/>
      <c r="D13" s="27" t="str">
        <f>PENYELIA!D12</f>
        <v>:</v>
      </c>
      <c r="E13" s="17" t="str">
        <f>PENYELIA!E12</f>
        <v>E</v>
      </c>
      <c r="F13" s="17"/>
      <c r="G13" s="17"/>
      <c r="H13" s="26"/>
      <c r="I13" s="26"/>
      <c r="J13" s="26"/>
      <c r="K13" s="26"/>
      <c r="L13" s="353"/>
    </row>
    <row r="14" spans="1:14" ht="15" customHeight="1" x14ac:dyDescent="0.2">
      <c r="A14" s="26" t="str">
        <f>PENYELIA!A13</f>
        <v>Metode Kerja</v>
      </c>
      <c r="B14" s="26"/>
      <c r="C14" s="26"/>
      <c r="D14" s="27" t="str">
        <f>PENYELIA!D13</f>
        <v>:</v>
      </c>
      <c r="E14" s="26" t="str">
        <f>PENYELIA!E13</f>
        <v>MK 027-18</v>
      </c>
      <c r="F14" s="26"/>
      <c r="G14" s="26"/>
      <c r="H14" s="26"/>
      <c r="I14" s="26"/>
      <c r="J14" s="26"/>
      <c r="K14" s="26"/>
      <c r="L14" s="353"/>
    </row>
    <row r="15" spans="1:14" ht="12" customHeight="1" x14ac:dyDescent="0.2">
      <c r="A15" s="26"/>
      <c r="B15" s="26"/>
      <c r="C15" s="26"/>
      <c r="D15" s="27"/>
      <c r="E15" s="26"/>
      <c r="F15" s="26"/>
      <c r="G15" s="26"/>
      <c r="H15" s="26"/>
      <c r="I15" s="26"/>
      <c r="J15" s="26"/>
      <c r="K15" s="26"/>
      <c r="L15" s="353"/>
    </row>
    <row r="16" spans="1:14" ht="15" customHeight="1" x14ac:dyDescent="0.2">
      <c r="A16" s="355" t="str">
        <f>PENYELIA!A15</f>
        <v>I.</v>
      </c>
      <c r="B16" s="355" t="str">
        <f>PENYELIA!B15</f>
        <v>Kondisi Ruang</v>
      </c>
      <c r="C16" s="355"/>
      <c r="D16" s="355"/>
      <c r="E16" s="355"/>
      <c r="F16" s="355"/>
      <c r="G16" s="355"/>
      <c r="H16" s="355"/>
      <c r="I16" s="355"/>
      <c r="J16" s="355"/>
      <c r="K16" s="355"/>
      <c r="L16" s="357"/>
      <c r="M16" s="75"/>
    </row>
    <row r="17" spans="1:12" ht="15" customHeight="1" x14ac:dyDescent="0.2">
      <c r="A17" s="26"/>
      <c r="B17" s="26" t="str">
        <f>PENYELIA!B16</f>
        <v>1. Suhu</v>
      </c>
      <c r="C17" s="26"/>
      <c r="D17" s="27" t="str">
        <f>PENYELIA!D16</f>
        <v>:</v>
      </c>
      <c r="E17" s="1083">
        <f>PENYELIA!E16</f>
        <v>21.388990011098777</v>
      </c>
      <c r="F17" s="412" t="str">
        <f>PENYELIA!F16</f>
        <v xml:space="preserve"> ± </v>
      </c>
      <c r="G17" s="1083">
        <f>PENYELIA!G16</f>
        <v>0.5</v>
      </c>
      <c r="H17" s="358" t="str">
        <f>PENYELIA!H16</f>
        <v xml:space="preserve"> °C</v>
      </c>
      <c r="I17" s="26"/>
      <c r="J17" s="26"/>
      <c r="K17" s="26"/>
      <c r="L17" s="353"/>
    </row>
    <row r="18" spans="1:12" ht="15" customHeight="1" x14ac:dyDescent="0.2">
      <c r="A18" s="26"/>
      <c r="B18" s="26" t="str">
        <f>PENYELIA!B17</f>
        <v>2. Kelembaban</v>
      </c>
      <c r="C18" s="26"/>
      <c r="D18" s="27" t="str">
        <f>PENYELIA!D17</f>
        <v>:</v>
      </c>
      <c r="E18" s="1083">
        <f>PENYELIA!E17</f>
        <v>68.956999999999994</v>
      </c>
      <c r="F18" s="412" t="str">
        <f>PENYELIA!F17</f>
        <v xml:space="preserve"> ± </v>
      </c>
      <c r="G18" s="1083">
        <f>PENYELIA!G17</f>
        <v>2.2999999999999998</v>
      </c>
      <c r="H18" s="358" t="str">
        <f>PENYELIA!H17</f>
        <v xml:space="preserve"> %RH</v>
      </c>
      <c r="I18" s="26"/>
      <c r="J18" s="26"/>
      <c r="K18" s="26"/>
      <c r="L18" s="353"/>
    </row>
    <row r="19" spans="1:12" ht="15" customHeight="1" x14ac:dyDescent="0.2">
      <c r="A19" s="26"/>
      <c r="B19" s="26" t="str">
        <f>PENYELIA!B18</f>
        <v>3. Tegangan Jala - jala</v>
      </c>
      <c r="C19" s="26"/>
      <c r="D19" s="27" t="str">
        <f>PENYELIA!D18</f>
        <v>:</v>
      </c>
      <c r="E19" s="1083" t="str">
        <f>PENYELIA!E18</f>
        <v>219.6</v>
      </c>
      <c r="F19" s="412" t="str">
        <f>PENYELIA!F18</f>
        <v xml:space="preserve"> ± </v>
      </c>
      <c r="G19" s="1083" t="str">
        <f>PENYELIA!G18</f>
        <v>2.6</v>
      </c>
      <c r="H19" s="358" t="str">
        <f>PENYELIA!H18</f>
        <v xml:space="preserve"> Volt</v>
      </c>
      <c r="I19" s="26"/>
      <c r="J19" s="26"/>
      <c r="K19" s="26"/>
      <c r="L19" s="353"/>
    </row>
    <row r="20" spans="1:12" ht="12" customHeight="1" x14ac:dyDescent="0.2">
      <c r="A20" s="26"/>
      <c r="B20" s="26"/>
      <c r="C20" s="26"/>
      <c r="D20" s="27"/>
      <c r="E20" s="412"/>
      <c r="F20" s="27"/>
      <c r="G20" s="17"/>
      <c r="H20" s="17"/>
      <c r="I20" s="26"/>
      <c r="J20" s="26"/>
      <c r="K20" s="26"/>
      <c r="L20" s="353"/>
    </row>
    <row r="21" spans="1:12" ht="15" customHeight="1" x14ac:dyDescent="0.2">
      <c r="A21" s="355" t="str">
        <f>PENYELIA!$A$20</f>
        <v>II.</v>
      </c>
      <c r="B21" s="355" t="str">
        <f>PENYELIA!$B$20</f>
        <v>Pemeriksaan Kondisi Fisik dan Fungsi Alat</v>
      </c>
      <c r="C21" s="355"/>
      <c r="D21" s="355"/>
      <c r="E21" s="355"/>
      <c r="F21" s="355"/>
      <c r="G21" s="355"/>
      <c r="H21" s="355"/>
      <c r="I21" s="355"/>
      <c r="J21" s="355"/>
      <c r="K21" s="355"/>
      <c r="L21" s="353"/>
    </row>
    <row r="22" spans="1:12" ht="15" customHeight="1" x14ac:dyDescent="0.2">
      <c r="A22" s="26"/>
      <c r="B22" s="26" t="str">
        <f>PENYELIA!$B$21</f>
        <v>1. Fisik</v>
      </c>
      <c r="C22" s="26"/>
      <c r="D22" s="27" t="str">
        <f>PENYELIA!$D$21</f>
        <v>:</v>
      </c>
      <c r="E22" s="1081" t="str">
        <f>PENYELIA!$E$21</f>
        <v>Baik</v>
      </c>
      <c r="F22" s="26"/>
      <c r="G22" s="26"/>
      <c r="H22" s="26"/>
      <c r="I22" s="26"/>
      <c r="J22" s="26"/>
      <c r="K22" s="26"/>
      <c r="L22" s="353"/>
    </row>
    <row r="23" spans="1:12" ht="15" customHeight="1" x14ac:dyDescent="0.2">
      <c r="A23" s="26"/>
      <c r="B23" s="26" t="str">
        <f>PENYELIA!$B$22</f>
        <v>2. Fungsi</v>
      </c>
      <c r="C23" s="26"/>
      <c r="D23" s="27" t="str">
        <f>PENYELIA!$D$22</f>
        <v>:</v>
      </c>
      <c r="E23" s="1081" t="str">
        <f>PENYELIA!$E$22</f>
        <v>Baik</v>
      </c>
      <c r="F23" s="26"/>
      <c r="G23" s="26"/>
      <c r="H23" s="26"/>
      <c r="I23" s="26"/>
      <c r="J23" s="26"/>
      <c r="K23" s="26"/>
      <c r="L23" s="353"/>
    </row>
    <row r="24" spans="1:12" ht="12" customHeight="1" x14ac:dyDescent="0.2">
      <c r="A24" s="26"/>
      <c r="B24" s="26"/>
      <c r="C24" s="26"/>
      <c r="D24" s="27"/>
      <c r="E24" s="26"/>
      <c r="F24" s="26"/>
      <c r="G24" s="26"/>
      <c r="H24" s="26"/>
      <c r="I24" s="26"/>
      <c r="J24" s="26"/>
      <c r="K24" s="26"/>
      <c r="L24" s="353"/>
    </row>
    <row r="25" spans="1:12" ht="15" customHeight="1" x14ac:dyDescent="0.2">
      <c r="A25" s="355" t="str">
        <f>PENYELIA!$A$24</f>
        <v>III.</v>
      </c>
      <c r="B25" s="355" t="str">
        <f>PENYELIA!$B$24</f>
        <v>Hasil Pengujian Keselamatan Listrik</v>
      </c>
      <c r="C25" s="355"/>
      <c r="D25" s="355"/>
      <c r="E25" s="26"/>
      <c r="F25" s="26"/>
      <c r="G25" s="26"/>
      <c r="H25" s="362"/>
      <c r="I25" s="26"/>
      <c r="J25" s="26"/>
      <c r="K25" s="26"/>
      <c r="L25" s="353"/>
    </row>
    <row r="26" spans="1:12" ht="32.25" customHeight="1" x14ac:dyDescent="0.2">
      <c r="A26" s="26"/>
      <c r="B26" s="413" t="s">
        <v>33</v>
      </c>
      <c r="C26" s="1262" t="s">
        <v>34</v>
      </c>
      <c r="D26" s="1263"/>
      <c r="E26" s="1263"/>
      <c r="F26" s="1263"/>
      <c r="G26" s="1264"/>
      <c r="H26" s="1281" t="s">
        <v>35</v>
      </c>
      <c r="I26" s="1281"/>
      <c r="J26" s="1262" t="s">
        <v>36</v>
      </c>
      <c r="K26" s="1264"/>
      <c r="L26" s="26"/>
    </row>
    <row r="27" spans="1:12" ht="15" customHeight="1" x14ac:dyDescent="0.2">
      <c r="A27" s="26"/>
      <c r="B27" s="414">
        <f>PENYELIA!B26</f>
        <v>1</v>
      </c>
      <c r="C27" s="415" t="str">
        <f>PENYELIA!C26</f>
        <v>Resistansi Isolasi</v>
      </c>
      <c r="D27" s="416"/>
      <c r="E27" s="416"/>
      <c r="F27" s="416"/>
      <c r="G27" s="417"/>
      <c r="H27" s="1084" t="str">
        <f>PENYELIA!J26</f>
        <v>OL</v>
      </c>
      <c r="I27" s="327" t="str">
        <f>PENYELIA!K26</f>
        <v>MΩ</v>
      </c>
      <c r="J27" s="931">
        <f>PENYELIA!L26</f>
        <v>2</v>
      </c>
      <c r="K27" s="930" t="str">
        <f>PENYELIA!M26</f>
        <v>MΩ</v>
      </c>
      <c r="L27" s="26"/>
    </row>
    <row r="28" spans="1:12" ht="15" customHeight="1" x14ac:dyDescent="0.2">
      <c r="A28" s="26"/>
      <c r="B28" s="418">
        <f>PENYELIA!B27</f>
        <v>2</v>
      </c>
      <c r="C28" s="1087" t="str">
        <f>PENYELIA!C27</f>
        <v>Resistansi Pembumian Protektif (kabel dapat dilepas)</v>
      </c>
      <c r="D28" s="419"/>
      <c r="E28" s="419"/>
      <c r="F28" s="419"/>
      <c r="G28" s="420"/>
      <c r="H28" s="1085">
        <f>PENYELIA!J27</f>
        <v>0.12</v>
      </c>
      <c r="I28" s="523" t="str">
        <f>PENYELIA!K27</f>
        <v>Ω</v>
      </c>
      <c r="J28" s="933">
        <f>PENYELIA!L27</f>
        <v>0.2</v>
      </c>
      <c r="K28" s="932" t="str">
        <f>PENYELIA!M27</f>
        <v>Ω</v>
      </c>
      <c r="L28" s="26"/>
    </row>
    <row r="29" spans="1:12" ht="15" customHeight="1" x14ac:dyDescent="0.2">
      <c r="A29" s="26"/>
      <c r="B29" s="421">
        <f>PENYELIA!B28</f>
        <v>3</v>
      </c>
      <c r="C29" s="1088" t="str">
        <f>PENYELIA!C28</f>
        <v>Arus bocor peralatan untuk peralatan elektromedik kelas I</v>
      </c>
      <c r="D29" s="422"/>
      <c r="E29" s="422"/>
      <c r="F29" s="422"/>
      <c r="G29" s="314"/>
      <c r="H29" s="1086">
        <f>PENYELIA!J28</f>
        <v>555</v>
      </c>
      <c r="I29" s="328" t="str">
        <f>PENYELIA!K28</f>
        <v>µA</v>
      </c>
      <c r="J29" s="937">
        <f>PENYELIA!L28</f>
        <v>500</v>
      </c>
      <c r="K29" s="936" t="str">
        <f>PENYELIA!M28</f>
        <v>µA</v>
      </c>
      <c r="L29" s="26"/>
    </row>
    <row r="30" spans="1:12" ht="12" customHeight="1" x14ac:dyDescent="0.2">
      <c r="A30" s="26"/>
      <c r="B30" s="27"/>
      <c r="C30" s="26"/>
      <c r="D30" s="26"/>
      <c r="E30" s="26"/>
      <c r="F30" s="26"/>
      <c r="G30" s="26"/>
      <c r="H30" s="362"/>
      <c r="I30" s="26"/>
      <c r="J30" s="423"/>
      <c r="K30" s="26"/>
      <c r="L30" s="23"/>
    </row>
    <row r="31" spans="1:12" ht="15" customHeight="1" x14ac:dyDescent="0.2">
      <c r="A31" s="355" t="str">
        <f>PENYELIA!$A$30</f>
        <v>IV.</v>
      </c>
      <c r="B31" s="355" t="str">
        <f>PENYELIA!$B$30</f>
        <v>Hasil Pengukuran Kinerja</v>
      </c>
      <c r="C31" s="355"/>
      <c r="D31" s="355"/>
      <c r="E31" s="355"/>
      <c r="F31" s="355"/>
      <c r="G31" s="355"/>
      <c r="H31" s="27"/>
      <c r="I31" s="26"/>
      <c r="J31" s="26"/>
      <c r="K31" s="26"/>
      <c r="L31" s="353"/>
    </row>
    <row r="32" spans="1:12" ht="18.75" customHeight="1" x14ac:dyDescent="0.2">
      <c r="A32" s="26"/>
      <c r="B32" s="1255" t="s">
        <v>47</v>
      </c>
      <c r="C32" s="1255" t="s">
        <v>34</v>
      </c>
      <c r="D32" s="1257" t="s">
        <v>48</v>
      </c>
      <c r="E32" s="1258"/>
      <c r="F32" s="1255" t="s">
        <v>211</v>
      </c>
      <c r="G32" s="1253" t="s">
        <v>147</v>
      </c>
      <c r="H32" s="1255" t="s">
        <v>50</v>
      </c>
      <c r="I32" s="1257" t="s">
        <v>212</v>
      </c>
      <c r="J32" s="1258"/>
      <c r="K32" s="26"/>
      <c r="L32" s="26"/>
    </row>
    <row r="33" spans="1:12" ht="14.25" customHeight="1" x14ac:dyDescent="0.2">
      <c r="A33" s="26"/>
      <c r="B33" s="1256"/>
      <c r="C33" s="1256"/>
      <c r="D33" s="1259"/>
      <c r="E33" s="1260"/>
      <c r="F33" s="1256"/>
      <c r="G33" s="1254"/>
      <c r="H33" s="1256"/>
      <c r="I33" s="1279"/>
      <c r="J33" s="1260"/>
      <c r="K33" s="26"/>
      <c r="L33" s="26"/>
    </row>
    <row r="34" spans="1:12" ht="20.100000000000001" customHeight="1" x14ac:dyDescent="0.2">
      <c r="A34" s="26"/>
      <c r="B34" s="424">
        <v>1</v>
      </c>
      <c r="C34" s="1249" t="str">
        <f>PENYELIA!C33</f>
        <v>Flowrate (ml/h)</v>
      </c>
      <c r="D34" s="1278" t="str">
        <f>IFERROR(PENYELIA!D33,"-")</f>
        <v>10.00</v>
      </c>
      <c r="E34" s="1278"/>
      <c r="F34" s="1089">
        <f>IFERROR(PENYELIA!F33,"-")</f>
        <v>9.6265400000000003</v>
      </c>
      <c r="G34" s="1089">
        <f>IFERROR(PENYELIA!G33,"-")</f>
        <v>-0.37345999999999968</v>
      </c>
      <c r="H34" s="1275">
        <v>10</v>
      </c>
      <c r="I34" s="599" t="str">
        <f>IF(J34="-","","±")</f>
        <v>±</v>
      </c>
      <c r="J34" s="1092" t="str">
        <f>IFERROR(PENYELIA!J33,"-")</f>
        <v>0.63</v>
      </c>
      <c r="K34" s="26"/>
      <c r="L34" s="26"/>
    </row>
    <row r="35" spans="1:12" ht="20.100000000000001" customHeight="1" x14ac:dyDescent="0.2">
      <c r="A35" s="26"/>
      <c r="B35" s="425">
        <v>2</v>
      </c>
      <c r="C35" s="1250"/>
      <c r="D35" s="1280" t="str">
        <f>IFERROR(PENYELIA!D34,"-")</f>
        <v>50.00</v>
      </c>
      <c r="E35" s="1280"/>
      <c r="F35" s="1090">
        <f>IFERROR(PENYELIA!F34,"-")</f>
        <v>49.686439999999997</v>
      </c>
      <c r="G35" s="1090">
        <f>IFERROR(PENYELIA!G34,"-")</f>
        <v>-0.3135600000000025</v>
      </c>
      <c r="H35" s="1276"/>
      <c r="I35" s="600" t="str">
        <f t="shared" ref="I35:I37" si="0">IF(J35="-","","±")</f>
        <v>±</v>
      </c>
      <c r="J35" s="1093" t="str">
        <f>IFERROR(PENYELIA!J34,"-")</f>
        <v>0.64</v>
      </c>
      <c r="K35" s="26"/>
      <c r="L35" s="26"/>
    </row>
    <row r="36" spans="1:12" ht="20.100000000000001" customHeight="1" x14ac:dyDescent="0.2">
      <c r="A36" s="26"/>
      <c r="B36" s="425">
        <v>3</v>
      </c>
      <c r="C36" s="1250"/>
      <c r="D36" s="1280" t="str">
        <f>IFERROR(PENYELIA!D35,"-")</f>
        <v>100.0</v>
      </c>
      <c r="E36" s="1280"/>
      <c r="F36" s="1090">
        <f>IFERROR(PENYELIA!F35,"-")</f>
        <v>99.483274666666659</v>
      </c>
      <c r="G36" s="1090">
        <f>IFERROR(PENYELIA!G35,"-")</f>
        <v>-0.51672533333334059</v>
      </c>
      <c r="H36" s="1276"/>
      <c r="I36" s="518" t="str">
        <f t="shared" si="0"/>
        <v>±</v>
      </c>
      <c r="J36" s="1093" t="str">
        <f>IFERROR(PENYELIA!J35,"-")</f>
        <v>0.66</v>
      </c>
      <c r="K36" s="26"/>
      <c r="L36" s="26"/>
    </row>
    <row r="37" spans="1:12" ht="20.100000000000001" customHeight="1" x14ac:dyDescent="0.2">
      <c r="A37" s="26"/>
      <c r="B37" s="426">
        <v>4</v>
      </c>
      <c r="C37" s="1251"/>
      <c r="D37" s="1274" t="str">
        <f>IFERROR(PENYELIA!D36,"-")</f>
        <v>500.0</v>
      </c>
      <c r="E37" s="1274"/>
      <c r="F37" s="1091">
        <f>IFERROR(PENYELIA!F36,"-")</f>
        <v>499.34973000000002</v>
      </c>
      <c r="G37" s="1091">
        <f>IFERROR(PENYELIA!G36,"-")</f>
        <v>-0.6502699999999777</v>
      </c>
      <c r="H37" s="1277"/>
      <c r="I37" s="519" t="str">
        <f t="shared" si="0"/>
        <v>±</v>
      </c>
      <c r="J37" s="1094" t="str">
        <f>IFERROR(PENYELIA!J36,"-")</f>
        <v>0.87</v>
      </c>
      <c r="K37" s="26"/>
      <c r="L37" s="26"/>
    </row>
    <row r="38" spans="1:12" ht="12" customHeight="1" x14ac:dyDescent="0.2">
      <c r="A38" s="26"/>
      <c r="B38" s="427"/>
      <c r="C38" s="427"/>
      <c r="D38" s="427"/>
      <c r="E38" s="427"/>
      <c r="F38" s="428"/>
      <c r="G38" s="428"/>
      <c r="H38" s="429"/>
      <c r="I38" s="430"/>
      <c r="J38" s="430"/>
      <c r="K38" s="26"/>
      <c r="L38" s="26"/>
    </row>
    <row r="39" spans="1:12" ht="31.5" customHeight="1" x14ac:dyDescent="0.2">
      <c r="A39" s="26"/>
      <c r="B39" s="363" t="s">
        <v>47</v>
      </c>
      <c r="C39" s="363" t="s">
        <v>34</v>
      </c>
      <c r="D39" s="1157" t="s">
        <v>211</v>
      </c>
      <c r="E39" s="1158"/>
      <c r="F39" s="1159"/>
      <c r="G39" s="1157" t="s">
        <v>50</v>
      </c>
      <c r="H39" s="1158"/>
      <c r="I39" s="1272"/>
      <c r="J39" s="1273"/>
      <c r="K39" s="431"/>
      <c r="L39" s="26"/>
    </row>
    <row r="40" spans="1:12" ht="20.100000000000001" customHeight="1" x14ac:dyDescent="0.2">
      <c r="A40" s="26"/>
      <c r="B40" s="432">
        <v>5</v>
      </c>
      <c r="C40" s="432" t="str">
        <f>PENYELIA!C39</f>
        <v>Occlusion (PSI)</v>
      </c>
      <c r="D40" s="1267">
        <f>IFERROR(PENYELIA!D39,"-")</f>
        <v>9.944190714285714</v>
      </c>
      <c r="E40" s="1268"/>
      <c r="F40" s="1269"/>
      <c r="G40" s="1270">
        <v>20</v>
      </c>
      <c r="H40" s="1271"/>
      <c r="I40" s="1265"/>
      <c r="J40" s="1266"/>
      <c r="K40" s="433"/>
      <c r="L40" s="26"/>
    </row>
    <row r="41" spans="1:12" ht="12" customHeight="1" x14ac:dyDescent="0.2">
      <c r="A41" s="26"/>
      <c r="B41" s="380"/>
      <c r="C41" s="381"/>
      <c r="D41" s="383"/>
      <c r="E41" s="383"/>
      <c r="F41" s="383"/>
      <c r="G41" s="44"/>
      <c r="H41" s="44"/>
      <c r="I41" s="434"/>
      <c r="J41" s="435"/>
      <c r="K41" s="433"/>
      <c r="L41" s="26"/>
    </row>
    <row r="42" spans="1:12" ht="15" customHeight="1" x14ac:dyDescent="0.2">
      <c r="A42" s="355" t="str">
        <f>PENYELIA!$A$41</f>
        <v>V.</v>
      </c>
      <c r="B42" s="355" t="str">
        <f>PENYELIA!B41</f>
        <v>Keterangan</v>
      </c>
      <c r="C42" s="191"/>
      <c r="D42" s="191"/>
      <c r="L42" s="77"/>
    </row>
    <row r="43" spans="1:12" ht="15" customHeight="1" x14ac:dyDescent="0.2">
      <c r="B43" s="63" t="str">
        <f>PENYELIA!B42</f>
        <v>Ketidakpastian pengukuran dilaporkan pada tingkat kepercayaan 95 % dengan faktor cakupan k = 2</v>
      </c>
      <c r="C43" s="190"/>
      <c r="D43" s="190"/>
      <c r="L43" s="77"/>
    </row>
    <row r="44" spans="1:12" ht="15" customHeight="1" x14ac:dyDescent="0.2">
      <c r="B44" s="63" t="str">
        <f>PENYELIA!B43</f>
        <v>Hasil pengukuran keselamatan listrik tertelusur ke Satuan Internasional ( SI ) melalui PT. Kaliman (LK-032-IDN)</v>
      </c>
      <c r="C44" s="190"/>
      <c r="D44" s="190"/>
      <c r="L44" s="77"/>
    </row>
    <row r="45" spans="1:12" ht="15" customHeight="1" x14ac:dyDescent="0.2">
      <c r="B45" s="63" t="str">
        <f>PENYELIA!B44</f>
        <v>Hasil pengukuran flowrate tertelusur ke Satuan Internasional ( SI ) melalui PT. Kaliman (LK-032-IDN)</v>
      </c>
      <c r="C45" s="190"/>
      <c r="D45" s="190"/>
      <c r="L45" s="77"/>
    </row>
    <row r="46" spans="1:12" ht="15" customHeight="1" x14ac:dyDescent="0.2">
      <c r="B46" s="63" t="str">
        <f>PENYELIA!B45</f>
        <v>Hasil pengukuran Occlusion tertelusur ke Satuan Internasional ( SI ) melalui PT. Kaliman (LK-032-IDN)</v>
      </c>
      <c r="C46" s="190"/>
      <c r="D46" s="190"/>
      <c r="L46" s="77"/>
    </row>
    <row r="47" spans="1:12" ht="15" customHeight="1" x14ac:dyDescent="0.2">
      <c r="B47" s="63" t="str">
        <f>PENYELIA!B46</f>
        <v>Infusion device analyzer menggunakan channel 3</v>
      </c>
      <c r="C47" s="190"/>
      <c r="D47" s="190"/>
      <c r="L47" s="77"/>
    </row>
    <row r="48" spans="1:12" ht="15" customHeight="1" x14ac:dyDescent="0.2">
      <c r="B48" s="1095" t="str">
        <f>PENYELIA!B47</f>
        <v>Infusion set merek : Terumo, 20 drops</v>
      </c>
      <c r="C48" s="190"/>
      <c r="D48" s="190"/>
      <c r="F48" s="114"/>
      <c r="G48" s="114"/>
      <c r="L48" s="77"/>
    </row>
    <row r="49" spans="1:12" ht="15" customHeight="1" x14ac:dyDescent="0.2">
      <c r="B49" s="63" t="str">
        <f>PENYELIA!B48</f>
        <v>Alat tidak boleh digunakan pada instalasi tanpa dilengkapi grounding</v>
      </c>
      <c r="C49" s="190"/>
      <c r="D49" s="190"/>
      <c r="F49" s="114"/>
      <c r="G49" s="114"/>
      <c r="L49" s="77"/>
    </row>
    <row r="50" spans="1:12" ht="15" customHeight="1" x14ac:dyDescent="0.2">
      <c r="B50" s="63" t="str">
        <f>PENYELIA!B49</f>
        <v/>
      </c>
      <c r="C50" s="190"/>
      <c r="D50" s="190"/>
      <c r="F50" s="114"/>
      <c r="G50" s="114"/>
      <c r="L50" s="77"/>
    </row>
    <row r="51" spans="1:12" ht="15" customHeight="1" x14ac:dyDescent="0.2">
      <c r="C51" s="190"/>
      <c r="D51" s="190"/>
      <c r="F51" s="114"/>
      <c r="G51" s="114"/>
      <c r="L51" s="77"/>
    </row>
    <row r="52" spans="1:12" ht="15" customHeight="1" x14ac:dyDescent="0.2">
      <c r="A52" s="75" t="str">
        <f>PENYELIA!$A$51</f>
        <v>VI.</v>
      </c>
      <c r="B52" s="75" t="str">
        <f>PENYELIA!$B$51</f>
        <v>Alat Ukur Yang Digunakan</v>
      </c>
      <c r="C52" s="191"/>
      <c r="D52" s="191"/>
      <c r="E52" s="75"/>
      <c r="L52" s="77"/>
    </row>
    <row r="53" spans="1:12" ht="15" customHeight="1" x14ac:dyDescent="0.2">
      <c r="B53" s="1095" t="str">
        <f>PENYELIA!$B$52</f>
        <v>Electrical Safety Analyzer, Merek : Fluke, Model : ESA 615, SN : 4670010</v>
      </c>
      <c r="L53" s="77"/>
    </row>
    <row r="54" spans="1:12" ht="15" customHeight="1" x14ac:dyDescent="0.2">
      <c r="B54" s="1095" t="str">
        <f>PENYELIA!B53</f>
        <v>Infusion Devices Analyzer, Merek : Fluke, Model : IDA 5, SN : 5157005</v>
      </c>
      <c r="L54" s="77"/>
    </row>
    <row r="55" spans="1:12" ht="12" customHeight="1" x14ac:dyDescent="0.2">
      <c r="L55" s="77"/>
    </row>
    <row r="56" spans="1:12" ht="15" customHeight="1" x14ac:dyDescent="0.2">
      <c r="A56" s="75" t="str">
        <f>PENYELIA!$A$56</f>
        <v>VII.</v>
      </c>
      <c r="B56" s="75" t="str">
        <f>PENYELIA!$B$56</f>
        <v>Kesimpulan</v>
      </c>
      <c r="C56" s="75"/>
      <c r="D56" s="75"/>
      <c r="L56" s="77"/>
    </row>
    <row r="57" spans="1:12" ht="15" customHeight="1" x14ac:dyDescent="0.2">
      <c r="B57" s="1248" t="str">
        <f>PENYELIA!$B$57</f>
        <v>Alat yang dikalibrasi dalam batas toleransi dan dinyatakan LAIK PAKAI, dimana hasil atau skor akhir sama dengan atau melampaui 70% berdasarkan Keputusan Direktur Jenderal Pelayanan Kesehatan No : HK.02.02/V/0412/2020.</v>
      </c>
      <c r="C57" s="1248"/>
      <c r="D57" s="1248"/>
      <c r="E57" s="1248"/>
      <c r="F57" s="1248"/>
      <c r="G57" s="1248"/>
      <c r="H57" s="1248"/>
      <c r="I57" s="1248"/>
      <c r="J57" s="1248"/>
      <c r="K57" s="1248"/>
      <c r="L57" s="1248"/>
    </row>
    <row r="58" spans="1:12" ht="15" customHeight="1" x14ac:dyDescent="0.2">
      <c r="B58" s="1248"/>
      <c r="C58" s="1248"/>
      <c r="D58" s="1248"/>
      <c r="E58" s="1248"/>
      <c r="F58" s="1248"/>
      <c r="G58" s="1248"/>
      <c r="H58" s="1248"/>
      <c r="I58" s="1248"/>
      <c r="J58" s="1248"/>
      <c r="K58" s="1248"/>
      <c r="L58" s="1248"/>
    </row>
    <row r="59" spans="1:12" ht="12" customHeight="1" x14ac:dyDescent="0.2">
      <c r="L59" s="77"/>
    </row>
    <row r="60" spans="1:12" ht="15" customHeight="1" x14ac:dyDescent="0.2">
      <c r="A60" s="75" t="str">
        <f>PENYELIA!$A$60</f>
        <v>VIII.</v>
      </c>
      <c r="B60" s="75" t="str">
        <f>PENYELIA!$B$60</f>
        <v>Petugas Kalibrasi</v>
      </c>
      <c r="C60" s="75"/>
      <c r="D60" s="75"/>
      <c r="I60" s="77"/>
      <c r="J60" s="77"/>
      <c r="L60" s="77"/>
    </row>
    <row r="61" spans="1:12" ht="15" customHeight="1" x14ac:dyDescent="0.2">
      <c r="B61" s="1095" t="str">
        <f>PENYELIA!$B$61</f>
        <v>Donny Martha</v>
      </c>
      <c r="I61" s="77"/>
      <c r="J61" s="77"/>
      <c r="L61" s="77"/>
    </row>
    <row r="62" spans="1:12" ht="15" customHeight="1" x14ac:dyDescent="0.2">
      <c r="I62" s="77"/>
      <c r="J62" s="77"/>
      <c r="L62" s="77"/>
    </row>
    <row r="63" spans="1:12" ht="15" customHeight="1" x14ac:dyDescent="0.2">
      <c r="I63" s="73" t="s">
        <v>241</v>
      </c>
      <c r="L63" s="77"/>
    </row>
    <row r="64" spans="1:12" ht="15" customHeight="1" x14ac:dyDescent="0.2">
      <c r="I64" s="73" t="str">
        <f>IF(I70=V117,V119,V121)</f>
        <v>Kepala Instalasi Laboratorium</v>
      </c>
      <c r="L64" s="77"/>
    </row>
    <row r="65" spans="3:13" ht="15" customHeight="1" x14ac:dyDescent="0.2">
      <c r="C65" s="194"/>
      <c r="D65" s="194"/>
      <c r="E65" s="194"/>
      <c r="F65" s="194"/>
      <c r="G65" s="195"/>
      <c r="H65" s="195"/>
      <c r="I65" s="73" t="str">
        <f>IF(I70=V117,V120,V122)</f>
        <v>Pengujian dan Kalibrasi</v>
      </c>
      <c r="L65" s="77"/>
    </row>
    <row r="66" spans="3:13" ht="15" customHeight="1" x14ac:dyDescent="0.2">
      <c r="C66" s="196"/>
      <c r="D66" s="197"/>
      <c r="E66" s="197"/>
      <c r="F66" s="197"/>
      <c r="G66" s="195"/>
      <c r="H66" s="195"/>
      <c r="I66" s="73"/>
      <c r="L66" s="77"/>
    </row>
    <row r="67" spans="3:13" ht="15" customHeight="1" x14ac:dyDescent="0.2">
      <c r="I67" s="73"/>
      <c r="K67" s="74"/>
      <c r="L67" s="192"/>
      <c r="M67" s="75"/>
    </row>
    <row r="68" spans="3:13" ht="15" customHeight="1" x14ac:dyDescent="0.2">
      <c r="I68" s="73"/>
      <c r="K68" s="75"/>
      <c r="L68" s="192"/>
      <c r="M68" s="75"/>
    </row>
    <row r="69" spans="3:13" ht="15" customHeight="1" x14ac:dyDescent="0.2">
      <c r="I69" s="204"/>
      <c r="L69" s="77"/>
    </row>
    <row r="70" spans="3:13" ht="15" customHeight="1" x14ac:dyDescent="0.2">
      <c r="I70" s="205" t="s">
        <v>242</v>
      </c>
      <c r="L70" s="77"/>
    </row>
    <row r="71" spans="3:13" ht="15" customHeight="1" x14ac:dyDescent="0.2">
      <c r="I71" s="271" t="str">
        <f>VLOOKUP(I70,V116:W117,2,0)</f>
        <v>NIP 198008062010121001</v>
      </c>
      <c r="L71" s="77"/>
    </row>
    <row r="72" spans="3:13" ht="15" customHeight="1" x14ac:dyDescent="0.2">
      <c r="I72" s="271"/>
      <c r="L72" s="77"/>
    </row>
    <row r="73" spans="3:13" ht="15" customHeight="1" x14ac:dyDescent="0.2">
      <c r="I73" s="271"/>
      <c r="L73" s="77"/>
    </row>
    <row r="74" spans="3:13" ht="15" customHeight="1" x14ac:dyDescent="0.2">
      <c r="I74" s="271"/>
      <c r="L74" s="77"/>
    </row>
    <row r="75" spans="3:13" ht="15" customHeight="1" x14ac:dyDescent="0.2">
      <c r="I75" s="271"/>
      <c r="L75" s="77"/>
    </row>
    <row r="76" spans="3:13" ht="15" customHeight="1" x14ac:dyDescent="0.2">
      <c r="L76" s="198" t="s">
        <v>243</v>
      </c>
    </row>
    <row r="77" spans="3:13" ht="15" customHeight="1" x14ac:dyDescent="0.2">
      <c r="L77" s="77"/>
    </row>
    <row r="78" spans="3:13" ht="15" customHeight="1" x14ac:dyDescent="0.2">
      <c r="L78" s="77"/>
    </row>
    <row r="79" spans="3:13" ht="15" customHeight="1" x14ac:dyDescent="0.2">
      <c r="L79" s="77"/>
    </row>
    <row r="83" spans="12:12" ht="15" customHeight="1" x14ac:dyDescent="0.2">
      <c r="L83" s="77"/>
    </row>
    <row r="84" spans="12:12" ht="15" customHeight="1" x14ac:dyDescent="0.2">
      <c r="L84" s="77"/>
    </row>
    <row r="85" spans="12:12" ht="15" customHeight="1" x14ac:dyDescent="0.2">
      <c r="L85" s="77"/>
    </row>
    <row r="116" spans="22:25" ht="15" customHeight="1" x14ac:dyDescent="0.25">
      <c r="V116" s="269" t="s">
        <v>158</v>
      </c>
      <c r="W116" s="270" t="s">
        <v>244</v>
      </c>
      <c r="X116" s="271"/>
      <c r="Y116" s="271"/>
    </row>
    <row r="117" spans="22:25" ht="15" customHeight="1" x14ac:dyDescent="0.2">
      <c r="V117" s="272" t="s">
        <v>242</v>
      </c>
      <c r="W117" s="270" t="s">
        <v>245</v>
      </c>
      <c r="X117" s="271"/>
      <c r="Y117" s="271"/>
    </row>
    <row r="118" spans="22:25" ht="15" customHeight="1" x14ac:dyDescent="0.2">
      <c r="W118" s="271"/>
      <c r="X118" s="271"/>
      <c r="Y118" s="271"/>
    </row>
    <row r="119" spans="22:25" ht="15" customHeight="1" x14ac:dyDescent="0.2">
      <c r="V119" s="80" t="s">
        <v>246</v>
      </c>
    </row>
    <row r="120" spans="22:25" ht="15" customHeight="1" x14ac:dyDescent="0.2">
      <c r="V120" s="80" t="s">
        <v>247</v>
      </c>
    </row>
    <row r="121" spans="22:25" ht="15" customHeight="1" x14ac:dyDescent="0.2">
      <c r="V121" s="80" t="s">
        <v>248</v>
      </c>
    </row>
    <row r="122" spans="22:25" ht="15" customHeight="1" x14ac:dyDescent="0.2">
      <c r="V122" s="80" t="s">
        <v>249</v>
      </c>
    </row>
  </sheetData>
  <sheetProtection formatCells="0" formatColumns="0" formatRows="0" insertRows="0" deleteRows="0"/>
  <mergeCells count="28">
    <mergeCell ref="I39:J39"/>
    <mergeCell ref="D39:F39"/>
    <mergeCell ref="E10:F10"/>
    <mergeCell ref="E11:F11"/>
    <mergeCell ref="J26:K26"/>
    <mergeCell ref="D37:E37"/>
    <mergeCell ref="H34:H37"/>
    <mergeCell ref="D34:E34"/>
    <mergeCell ref="I32:J33"/>
    <mergeCell ref="D35:E35"/>
    <mergeCell ref="D36:E36"/>
    <mergeCell ref="H26:I26"/>
    <mergeCell ref="B57:L58"/>
    <mergeCell ref="C34:C37"/>
    <mergeCell ref="A1:L1"/>
    <mergeCell ref="A2:L2"/>
    <mergeCell ref="G32:G33"/>
    <mergeCell ref="F32:F33"/>
    <mergeCell ref="D32:E33"/>
    <mergeCell ref="B32:B33"/>
    <mergeCell ref="C32:C33"/>
    <mergeCell ref="H32:H33"/>
    <mergeCell ref="E7:G7"/>
    <mergeCell ref="C26:G26"/>
    <mergeCell ref="I40:J40"/>
    <mergeCell ref="D40:F40"/>
    <mergeCell ref="G39:H39"/>
    <mergeCell ref="G40:H40"/>
  </mergeCells>
  <phoneticPr fontId="4" type="noConversion"/>
  <dataValidations disablePrompts="1" count="1">
    <dataValidation type="list" allowBlank="1" showInputMessage="1" showErrorMessage="1" sqref="I70" xr:uid="{00000000-0002-0000-0400-000000000000}">
      <formula1>$V$116:$V$117</formula1>
    </dataValidation>
  </dataValidations>
  <printOptions horizontalCentered="1"/>
  <pageMargins left="0.6" right="0.25" top="0.5" bottom="0.4" header="0.25" footer="0.25"/>
  <pageSetup paperSize="9" scale="68" orientation="portrait" horizontalDpi="4294967293" verticalDpi="4294967293" r:id="rId1"/>
  <headerFooter>
    <oddHeader xml:space="preserve">&amp;R&amp;"-,Regular"&amp;8FV. 027-18
</oddHeader>
    <oddFooter>&amp;C&amp;8    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9</xdr:col>
                <xdr:colOff>9525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11</xdr:col>
                <xdr:colOff>9525</xdr:colOff>
                <xdr:row>86</xdr:row>
                <xdr:rowOff>0</xdr:rowOff>
              </from>
              <to>
                <xdr:col>11</xdr:col>
                <xdr:colOff>409575</xdr:colOff>
                <xdr:row>86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400-000001000000}">
          <x14:formula1>
            <xm:f>'F:\SOFTWARE 2019\SOFTWARE TEKANAN\[TENSIMETER 8-1-2019 KAN.xlsx]KESIMPULAN'!#REF!</xm:f>
          </x14:formula1>
          <xm:sqref>H65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F6478-0A84-4FB4-A8D2-A76C16918EF8}">
  <sheetPr codeName="Sheet11">
    <tabColor rgb="FF00B050"/>
  </sheetPr>
  <dimension ref="A1:AB311"/>
  <sheetViews>
    <sheetView topLeftCell="G269" zoomScaleNormal="100" workbookViewId="0">
      <selection activeCell="M283" sqref="M283"/>
    </sheetView>
  </sheetViews>
  <sheetFormatPr defaultColWidth="8.7109375" defaultRowHeight="12.75" x14ac:dyDescent="0.2"/>
  <cols>
    <col min="1" max="1" width="10.28515625" style="967" bestFit="1" customWidth="1"/>
    <col min="2" max="2" width="10.140625" style="967" bestFit="1" customWidth="1"/>
    <col min="3" max="4" width="9.42578125" style="967" bestFit="1" customWidth="1"/>
    <col min="5" max="5" width="9.28515625" style="967" bestFit="1" customWidth="1"/>
    <col min="6" max="6" width="9" style="967" bestFit="1" customWidth="1"/>
    <col min="7" max="7" width="9.28515625" style="967" bestFit="1" customWidth="1"/>
    <col min="8" max="9" width="8.7109375" style="967"/>
    <col min="10" max="10" width="10.140625" style="967" bestFit="1" customWidth="1"/>
    <col min="11" max="11" width="9.7109375" style="967" bestFit="1" customWidth="1"/>
    <col min="12" max="12" width="8.5703125" style="967" customWidth="1"/>
    <col min="13" max="13" width="12.28515625" style="967" customWidth="1"/>
    <col min="14" max="14" width="11" style="967" customWidth="1"/>
    <col min="15" max="15" width="11.85546875" style="967" customWidth="1"/>
    <col min="16" max="16" width="8.7109375" style="967" customWidth="1"/>
    <col min="17" max="17" width="10.28515625" style="967" bestFit="1" customWidth="1"/>
    <col min="18" max="19" width="9.28515625" style="967" bestFit="1" customWidth="1"/>
    <col min="20" max="20" width="9.42578125" style="967" bestFit="1" customWidth="1"/>
    <col min="21" max="21" width="9.28515625" style="967" bestFit="1" customWidth="1"/>
    <col min="22" max="16384" width="8.7109375" style="967"/>
  </cols>
  <sheetData>
    <row r="1" spans="1:24" ht="18" x14ac:dyDescent="0.2">
      <c r="A1" s="1399" t="s">
        <v>344</v>
      </c>
      <c r="B1" s="1400"/>
      <c r="C1" s="1400"/>
      <c r="D1" s="1400"/>
      <c r="E1" s="1400"/>
      <c r="F1" s="1400"/>
      <c r="G1" s="1400"/>
      <c r="H1" s="1400"/>
      <c r="I1" s="1400"/>
      <c r="J1" s="1400"/>
      <c r="K1" s="1400"/>
      <c r="L1" s="1400"/>
      <c r="M1" s="1400"/>
      <c r="N1" s="1400"/>
      <c r="O1" s="1400"/>
      <c r="P1" s="1400"/>
      <c r="Q1" s="1400"/>
      <c r="R1" s="1400"/>
      <c r="S1" s="1400"/>
      <c r="T1" s="1400"/>
      <c r="U1" s="1400"/>
      <c r="V1" s="967" t="s">
        <v>345</v>
      </c>
    </row>
    <row r="2" spans="1:24" ht="15" x14ac:dyDescent="0.2">
      <c r="A2" s="1392" t="s">
        <v>346</v>
      </c>
      <c r="B2" s="1395" t="s">
        <v>347</v>
      </c>
      <c r="C2" s="1395"/>
      <c r="D2" s="1395"/>
      <c r="E2" s="1395"/>
      <c r="F2" s="1395"/>
      <c r="G2" s="1395"/>
      <c r="H2" s="1394" t="s">
        <v>121</v>
      </c>
      <c r="I2" s="1395" t="s">
        <v>348</v>
      </c>
      <c r="J2" s="1395"/>
      <c r="K2" s="1395"/>
      <c r="L2" s="1395"/>
      <c r="M2" s="1395"/>
      <c r="N2" s="1395"/>
      <c r="O2" s="1394" t="s">
        <v>122</v>
      </c>
      <c r="P2" s="1395" t="s">
        <v>349</v>
      </c>
      <c r="Q2" s="1395"/>
      <c r="R2" s="1395"/>
      <c r="S2" s="1395"/>
      <c r="T2" s="1395"/>
      <c r="U2" s="1395"/>
    </row>
    <row r="3" spans="1:24" ht="15" x14ac:dyDescent="0.25">
      <c r="A3" s="1392"/>
      <c r="B3" s="1396" t="s">
        <v>350</v>
      </c>
      <c r="C3" s="1396"/>
      <c r="D3" s="1396"/>
      <c r="E3" s="1396"/>
      <c r="F3" s="1396"/>
      <c r="G3" s="1396"/>
      <c r="H3" s="1394"/>
      <c r="I3" s="1396" t="s">
        <v>350</v>
      </c>
      <c r="J3" s="1396"/>
      <c r="K3" s="1396"/>
      <c r="L3" s="1396"/>
      <c r="M3" s="1396"/>
      <c r="N3" s="1396"/>
      <c r="O3" s="1394"/>
      <c r="P3" s="1397" t="s">
        <v>350</v>
      </c>
      <c r="Q3" s="1397"/>
      <c r="R3" s="1397"/>
      <c r="S3" s="1397"/>
      <c r="T3" s="1397"/>
      <c r="U3" s="1397"/>
    </row>
    <row r="4" spans="1:24" x14ac:dyDescent="0.2">
      <c r="A4" s="1392"/>
      <c r="B4" s="1384" t="s">
        <v>351</v>
      </c>
      <c r="C4" s="1384"/>
      <c r="D4" s="1384"/>
      <c r="E4" s="1384"/>
      <c r="F4" s="1384" t="s">
        <v>352</v>
      </c>
      <c r="G4" s="1384" t="s">
        <v>284</v>
      </c>
      <c r="H4" s="1394"/>
      <c r="I4" s="1384" t="str">
        <f>B4</f>
        <v>Setting VAC</v>
      </c>
      <c r="J4" s="1384"/>
      <c r="K4" s="1384"/>
      <c r="L4" s="1384"/>
      <c r="M4" s="1384" t="s">
        <v>352</v>
      </c>
      <c r="N4" s="1384" t="s">
        <v>284</v>
      </c>
      <c r="O4" s="1394"/>
      <c r="P4" s="1384" t="str">
        <f>B4</f>
        <v>Setting VAC</v>
      </c>
      <c r="Q4" s="1384"/>
      <c r="R4" s="1384"/>
      <c r="S4" s="1384"/>
      <c r="T4" s="1384" t="s">
        <v>352</v>
      </c>
      <c r="U4" s="1384" t="s">
        <v>284</v>
      </c>
    </row>
    <row r="5" spans="1:24" ht="15" x14ac:dyDescent="0.2">
      <c r="A5" s="1392"/>
      <c r="B5" s="968" t="s">
        <v>353</v>
      </c>
      <c r="C5" s="970">
        <v>2020</v>
      </c>
      <c r="D5" s="970">
        <v>2019</v>
      </c>
      <c r="E5" s="971" t="s">
        <v>291</v>
      </c>
      <c r="F5" s="1384"/>
      <c r="G5" s="1384"/>
      <c r="H5" s="1394"/>
      <c r="I5" s="968" t="s">
        <v>353</v>
      </c>
      <c r="J5" s="970">
        <v>2019</v>
      </c>
      <c r="K5" s="971">
        <v>2017</v>
      </c>
      <c r="L5" s="971" t="s">
        <v>291</v>
      </c>
      <c r="M5" s="1384"/>
      <c r="N5" s="1384"/>
      <c r="O5" s="1394"/>
      <c r="P5" s="968" t="s">
        <v>353</v>
      </c>
      <c r="Q5" s="970">
        <v>2022</v>
      </c>
      <c r="R5" s="970">
        <v>2021</v>
      </c>
      <c r="S5" s="970">
        <v>2018</v>
      </c>
      <c r="T5" s="1384"/>
      <c r="U5" s="1384"/>
      <c r="V5" s="972"/>
      <c r="W5" s="972"/>
      <c r="X5" s="973"/>
    </row>
    <row r="6" spans="1:24" x14ac:dyDescent="0.2">
      <c r="A6" s="1392"/>
      <c r="B6" s="974">
        <v>150</v>
      </c>
      <c r="C6" s="975">
        <v>0.31</v>
      </c>
      <c r="D6" s="975">
        <v>0.76</v>
      </c>
      <c r="E6" s="976" t="s">
        <v>291</v>
      </c>
      <c r="F6" s="977">
        <f>0.5*(MAX(C6:E6)-MIN(C6:E6))</f>
        <v>0.22500000000000001</v>
      </c>
      <c r="G6" s="974">
        <f t="shared" ref="G6:G11" si="0">(1.2/100)*B6</f>
        <v>1.8</v>
      </c>
      <c r="H6" s="1394"/>
      <c r="I6" s="974">
        <v>150</v>
      </c>
      <c r="J6" s="976">
        <v>0.15</v>
      </c>
      <c r="K6" s="976">
        <v>0.23</v>
      </c>
      <c r="L6" s="976" t="s">
        <v>291</v>
      </c>
      <c r="M6" s="977">
        <f>0.5*(MAX(J6:L6)-MIN(J6:L6))</f>
        <v>4.0000000000000008E-2</v>
      </c>
      <c r="N6" s="974">
        <f>(1.2/100)*I6</f>
        <v>1.8</v>
      </c>
      <c r="O6" s="1394"/>
      <c r="P6" s="974">
        <v>150</v>
      </c>
      <c r="Q6" s="976">
        <v>-1.43</v>
      </c>
      <c r="R6" s="976">
        <v>-1.6</v>
      </c>
      <c r="S6" s="976">
        <v>-7.0000000000000007E-2</v>
      </c>
      <c r="T6" s="977">
        <f>0.5*(MAX(Q6:S6)-MIN(Q6:S6))</f>
        <v>0.76500000000000001</v>
      </c>
      <c r="U6" s="974">
        <f t="shared" ref="U6:U11" si="1">(1.2/100)*P6</f>
        <v>1.8</v>
      </c>
      <c r="V6" s="978"/>
      <c r="W6" s="979"/>
      <c r="X6" s="973"/>
    </row>
    <row r="7" spans="1:24" x14ac:dyDescent="0.2">
      <c r="A7" s="1392"/>
      <c r="B7" s="974">
        <v>180</v>
      </c>
      <c r="C7" s="975">
        <v>0.1</v>
      </c>
      <c r="D7" s="975">
        <v>-0.03</v>
      </c>
      <c r="E7" s="976" t="s">
        <v>291</v>
      </c>
      <c r="F7" s="977">
        <f t="shared" ref="F7:F11" si="2">0.5*(MAX(C7:E7)-MIN(C7:E7))</f>
        <v>6.5000000000000002E-2</v>
      </c>
      <c r="G7" s="974">
        <f t="shared" si="0"/>
        <v>2.16</v>
      </c>
      <c r="H7" s="1394"/>
      <c r="I7" s="974">
        <v>180</v>
      </c>
      <c r="J7" s="976">
        <v>0.12</v>
      </c>
      <c r="K7" s="976">
        <v>-0.06</v>
      </c>
      <c r="L7" s="976" t="s">
        <v>291</v>
      </c>
      <c r="M7" s="977">
        <f t="shared" ref="M7:M11" si="3">0.5*(MAX(J7:L7)-MIN(J7:L7))</f>
        <v>0.09</v>
      </c>
      <c r="N7" s="974">
        <f>(1.2/100)*I7</f>
        <v>2.16</v>
      </c>
      <c r="O7" s="1394"/>
      <c r="P7" s="974">
        <v>180</v>
      </c>
      <c r="Q7" s="976">
        <v>-1.81</v>
      </c>
      <c r="R7" s="976">
        <v>-1.9</v>
      </c>
      <c r="S7" s="976">
        <v>-0.13</v>
      </c>
      <c r="T7" s="977">
        <f t="shared" ref="T7:T11" si="4">0.5*(MAX(Q7:S7)-MIN(Q7:S7))</f>
        <v>0.88500000000000001</v>
      </c>
      <c r="U7" s="974">
        <f t="shared" si="1"/>
        <v>2.16</v>
      </c>
      <c r="V7" s="978"/>
      <c r="W7" s="979"/>
      <c r="X7" s="973"/>
    </row>
    <row r="8" spans="1:24" x14ac:dyDescent="0.2">
      <c r="A8" s="1392"/>
      <c r="B8" s="974">
        <v>200</v>
      </c>
      <c r="C8" s="975">
        <v>-0.04</v>
      </c>
      <c r="D8" s="975">
        <v>-0.16</v>
      </c>
      <c r="E8" s="976" t="s">
        <v>291</v>
      </c>
      <c r="F8" s="977">
        <f t="shared" si="2"/>
        <v>0.06</v>
      </c>
      <c r="G8" s="974">
        <f t="shared" si="0"/>
        <v>2.4</v>
      </c>
      <c r="H8" s="1394"/>
      <c r="I8" s="974">
        <v>200</v>
      </c>
      <c r="J8" s="976">
        <v>0.06</v>
      </c>
      <c r="K8" s="976">
        <v>-0.18</v>
      </c>
      <c r="L8" s="976" t="s">
        <v>291</v>
      </c>
      <c r="M8" s="977">
        <f t="shared" si="3"/>
        <v>0.12</v>
      </c>
      <c r="N8" s="974">
        <f>(1.2/100)*I8</f>
        <v>2.4</v>
      </c>
      <c r="O8" s="1394"/>
      <c r="P8" s="974">
        <v>200</v>
      </c>
      <c r="Q8" s="976">
        <v>-2.0499999999999998</v>
      </c>
      <c r="R8" s="976">
        <v>-2.14</v>
      </c>
      <c r="S8" s="976">
        <v>-0.26</v>
      </c>
      <c r="T8" s="977">
        <f t="shared" si="4"/>
        <v>0.94000000000000006</v>
      </c>
      <c r="U8" s="974">
        <f t="shared" si="1"/>
        <v>2.4</v>
      </c>
      <c r="V8" s="978"/>
      <c r="W8" s="979"/>
      <c r="X8" s="973"/>
    </row>
    <row r="9" spans="1:24" x14ac:dyDescent="0.2">
      <c r="A9" s="1392"/>
      <c r="B9" s="974">
        <v>220</v>
      </c>
      <c r="C9" s="975">
        <v>-0.28000000000000003</v>
      </c>
      <c r="D9" s="975">
        <v>-0.18</v>
      </c>
      <c r="E9" s="976" t="s">
        <v>291</v>
      </c>
      <c r="F9" s="977">
        <f t="shared" si="2"/>
        <v>5.0000000000000017E-2</v>
      </c>
      <c r="G9" s="974">
        <f t="shared" si="0"/>
        <v>2.64</v>
      </c>
      <c r="H9" s="1394"/>
      <c r="I9" s="974">
        <v>220</v>
      </c>
      <c r="J9" s="976">
        <v>0.05</v>
      </c>
      <c r="K9" s="976">
        <v>-0.03</v>
      </c>
      <c r="L9" s="976" t="s">
        <v>291</v>
      </c>
      <c r="M9" s="977">
        <f t="shared" si="3"/>
        <v>0.04</v>
      </c>
      <c r="N9" s="974">
        <f>(1.2/100)*I9</f>
        <v>2.64</v>
      </c>
      <c r="O9" s="1394"/>
      <c r="P9" s="974">
        <v>220</v>
      </c>
      <c r="Q9" s="976">
        <v>-2.29</v>
      </c>
      <c r="R9" s="976">
        <v>-3.44</v>
      </c>
      <c r="S9" s="976">
        <v>-0.28999999999999998</v>
      </c>
      <c r="T9" s="977">
        <f t="shared" si="4"/>
        <v>1.575</v>
      </c>
      <c r="U9" s="974">
        <f t="shared" si="1"/>
        <v>2.64</v>
      </c>
      <c r="V9" s="978"/>
      <c r="W9" s="979"/>
      <c r="X9" s="973"/>
    </row>
    <row r="10" spans="1:24" x14ac:dyDescent="0.2">
      <c r="A10" s="1392"/>
      <c r="B10" s="974">
        <v>230</v>
      </c>
      <c r="C10" s="975">
        <v>-0.2</v>
      </c>
      <c r="D10" s="975">
        <v>-0.26</v>
      </c>
      <c r="E10" s="976" t="s">
        <v>291</v>
      </c>
      <c r="F10" s="977">
        <f t="shared" si="2"/>
        <v>0.03</v>
      </c>
      <c r="G10" s="974">
        <f t="shared" si="0"/>
        <v>2.7600000000000002</v>
      </c>
      <c r="H10" s="1394"/>
      <c r="I10" s="974">
        <v>230</v>
      </c>
      <c r="J10" s="975">
        <v>9.9999999999999995E-7</v>
      </c>
      <c r="K10" s="975">
        <v>0.05</v>
      </c>
      <c r="L10" s="976" t="s">
        <v>291</v>
      </c>
      <c r="M10" s="977">
        <f t="shared" si="3"/>
        <v>2.4999500000000001E-2</v>
      </c>
      <c r="N10" s="974">
        <f>(1.2/100)*I10</f>
        <v>2.7600000000000002</v>
      </c>
      <c r="O10" s="1394"/>
      <c r="P10" s="974">
        <v>230</v>
      </c>
      <c r="Q10" s="976">
        <v>-11.79</v>
      </c>
      <c r="R10" s="976">
        <v>-2.52</v>
      </c>
      <c r="S10" s="976">
        <v>-0.23</v>
      </c>
      <c r="T10" s="977">
        <f t="shared" si="4"/>
        <v>5.7799999999999994</v>
      </c>
      <c r="U10" s="974">
        <f t="shared" si="1"/>
        <v>2.7600000000000002</v>
      </c>
      <c r="V10" s="978"/>
      <c r="W10" s="979"/>
      <c r="X10" s="973"/>
    </row>
    <row r="11" spans="1:24" x14ac:dyDescent="0.2">
      <c r="A11" s="1392"/>
      <c r="B11" s="974">
        <v>250</v>
      </c>
      <c r="C11" s="975">
        <v>-0.32</v>
      </c>
      <c r="D11" s="975">
        <v>9.9999999999999995E-7</v>
      </c>
      <c r="E11" s="976" t="s">
        <v>291</v>
      </c>
      <c r="F11" s="977">
        <f t="shared" si="2"/>
        <v>0.16000049999999999</v>
      </c>
      <c r="G11" s="974">
        <f t="shared" si="0"/>
        <v>3</v>
      </c>
      <c r="H11" s="1394"/>
      <c r="I11" s="974">
        <v>250</v>
      </c>
      <c r="J11" s="975">
        <v>9.9999999999999995E-7</v>
      </c>
      <c r="K11" s="975">
        <v>9.9999999999999995E-7</v>
      </c>
      <c r="L11" s="976" t="s">
        <v>291</v>
      </c>
      <c r="M11" s="977">
        <f t="shared" si="3"/>
        <v>0</v>
      </c>
      <c r="N11" s="974">
        <v>2.76</v>
      </c>
      <c r="O11" s="1394"/>
      <c r="P11" s="974">
        <v>250</v>
      </c>
      <c r="Q11" s="976">
        <v>9.9999999999999995E-7</v>
      </c>
      <c r="R11" s="976">
        <v>9.9999999999999995E-7</v>
      </c>
      <c r="S11" s="976">
        <v>9.9999999999999995E-7</v>
      </c>
      <c r="T11" s="977">
        <f t="shared" si="4"/>
        <v>0</v>
      </c>
      <c r="U11" s="974">
        <f t="shared" si="1"/>
        <v>3</v>
      </c>
      <c r="V11" s="978"/>
      <c r="W11" s="979"/>
      <c r="X11" s="973"/>
    </row>
    <row r="12" spans="1:24" ht="13.15" customHeight="1" x14ac:dyDescent="0.2">
      <c r="A12" s="1392"/>
      <c r="B12" s="1391" t="s">
        <v>354</v>
      </c>
      <c r="C12" s="1391"/>
      <c r="D12" s="1391"/>
      <c r="E12" s="1391"/>
      <c r="F12" s="1384" t="s">
        <v>352</v>
      </c>
      <c r="G12" s="1384" t="s">
        <v>284</v>
      </c>
      <c r="H12" s="1394"/>
      <c r="I12" s="1391" t="str">
        <f>B12</f>
        <v>Current Leakage</v>
      </c>
      <c r="J12" s="1391"/>
      <c r="K12" s="1391"/>
      <c r="L12" s="1391"/>
      <c r="M12" s="1384" t="s">
        <v>352</v>
      </c>
      <c r="N12" s="1384" t="s">
        <v>284</v>
      </c>
      <c r="O12" s="1394"/>
      <c r="P12" s="1391" t="str">
        <f>B12</f>
        <v>Current Leakage</v>
      </c>
      <c r="Q12" s="1391"/>
      <c r="R12" s="1391"/>
      <c r="S12" s="1391"/>
      <c r="T12" s="1384" t="s">
        <v>352</v>
      </c>
      <c r="U12" s="1384" t="s">
        <v>284</v>
      </c>
      <c r="V12" s="973"/>
      <c r="W12" s="973"/>
      <c r="X12" s="973"/>
    </row>
    <row r="13" spans="1:24" ht="15" x14ac:dyDescent="0.2">
      <c r="A13" s="1392"/>
      <c r="B13" s="968" t="s">
        <v>355</v>
      </c>
      <c r="C13" s="970">
        <f>C5</f>
        <v>2020</v>
      </c>
      <c r="D13" s="970">
        <f>D5</f>
        <v>2019</v>
      </c>
      <c r="E13" s="969" t="str">
        <f>E5</f>
        <v>-</v>
      </c>
      <c r="F13" s="1384"/>
      <c r="G13" s="1384"/>
      <c r="H13" s="1394"/>
      <c r="I13" s="968" t="s">
        <v>355</v>
      </c>
      <c r="J13" s="970">
        <f>J5</f>
        <v>2019</v>
      </c>
      <c r="K13" s="970">
        <f>K5</f>
        <v>2017</v>
      </c>
      <c r="L13" s="970" t="str">
        <f>L5</f>
        <v>-</v>
      </c>
      <c r="M13" s="1384"/>
      <c r="N13" s="1384"/>
      <c r="O13" s="1394"/>
      <c r="P13" s="968" t="s">
        <v>355</v>
      </c>
      <c r="Q13" s="970">
        <f>Q5</f>
        <v>2022</v>
      </c>
      <c r="R13" s="970">
        <f>R5</f>
        <v>2021</v>
      </c>
      <c r="S13" s="970">
        <f>S5</f>
        <v>2018</v>
      </c>
      <c r="T13" s="1384"/>
      <c r="U13" s="1384"/>
      <c r="V13" s="973"/>
      <c r="W13" s="973"/>
      <c r="X13" s="973"/>
    </row>
    <row r="14" spans="1:24" x14ac:dyDescent="0.2">
      <c r="A14" s="1392"/>
      <c r="B14" s="974">
        <v>0</v>
      </c>
      <c r="C14" s="975">
        <v>9.9999999999999995E-7</v>
      </c>
      <c r="D14" s="975">
        <v>9.9999999999999995E-7</v>
      </c>
      <c r="E14" s="976" t="s">
        <v>291</v>
      </c>
      <c r="F14" s="977">
        <f>0.5*(MAX(C14:E14)-MIN(C14:E14))</f>
        <v>0</v>
      </c>
      <c r="G14" s="974">
        <v>0.3</v>
      </c>
      <c r="H14" s="1394"/>
      <c r="I14" s="974">
        <v>0</v>
      </c>
      <c r="J14" s="975">
        <v>9.9999999999999995E-7</v>
      </c>
      <c r="K14" s="975">
        <v>9.9999999999999995E-7</v>
      </c>
      <c r="L14" s="976" t="s">
        <v>291</v>
      </c>
      <c r="M14" s="977">
        <f>0.5*(MAX(J14:L14)-MIN(J14:L14))</f>
        <v>0</v>
      </c>
      <c r="N14" s="974">
        <v>0.3</v>
      </c>
      <c r="O14" s="1394"/>
      <c r="P14" s="974">
        <v>9.9999999999999995E-7</v>
      </c>
      <c r="Q14" s="975">
        <v>9.9999999999999995E-7</v>
      </c>
      <c r="R14" s="975">
        <v>9.9999999999999995E-7</v>
      </c>
      <c r="S14" s="975">
        <v>9.9999999999999995E-7</v>
      </c>
      <c r="T14" s="977">
        <f>0.5*(MAX(Q14:S14)-MIN(Q14:S14))</f>
        <v>0</v>
      </c>
      <c r="U14" s="974">
        <f t="shared" ref="U14:U19" si="5">(0.59/100)*P14</f>
        <v>5.8999999999999999E-9</v>
      </c>
      <c r="V14" s="973"/>
      <c r="W14" s="973"/>
      <c r="X14" s="973"/>
    </row>
    <row r="15" spans="1:24" x14ac:dyDescent="0.2">
      <c r="A15" s="1392"/>
      <c r="B15" s="974">
        <v>50</v>
      </c>
      <c r="C15" s="975">
        <v>0.1</v>
      </c>
      <c r="D15" s="975">
        <v>-0.06</v>
      </c>
      <c r="E15" s="976" t="s">
        <v>291</v>
      </c>
      <c r="F15" s="977">
        <f t="shared" ref="F15:F19" si="6">0.5*(MAX(C15:E15)-MIN(C15:E15))</f>
        <v>0.08</v>
      </c>
      <c r="G15" s="974">
        <f>(0.59/100)*B15</f>
        <v>0.29499999999999998</v>
      </c>
      <c r="H15" s="1394"/>
      <c r="I15" s="974">
        <v>50</v>
      </c>
      <c r="J15" s="976">
        <v>-0.08</v>
      </c>
      <c r="K15" s="976">
        <v>0.1</v>
      </c>
      <c r="L15" s="976" t="s">
        <v>291</v>
      </c>
      <c r="M15" s="977">
        <f t="shared" ref="M15:M19" si="7">0.5*(MAX(J15:L15)-MIN(J15:L15))</f>
        <v>0.09</v>
      </c>
      <c r="N15" s="974">
        <f>(0.59/100)*I15</f>
        <v>0.29499999999999998</v>
      </c>
      <c r="O15" s="1394"/>
      <c r="P15" s="974">
        <v>50</v>
      </c>
      <c r="Q15" s="976">
        <v>9.1</v>
      </c>
      <c r="R15" s="976">
        <v>-0.62</v>
      </c>
      <c r="S15" s="976">
        <v>2</v>
      </c>
      <c r="T15" s="977">
        <f t="shared" ref="T15:T19" si="8">0.5*(MAX(Q15:S15)-MIN(Q15:S15))</f>
        <v>4.8599999999999994</v>
      </c>
      <c r="U15" s="974">
        <f t="shared" si="5"/>
        <v>0.29499999999999998</v>
      </c>
      <c r="V15" s="973"/>
      <c r="W15" s="973"/>
      <c r="X15" s="973"/>
    </row>
    <row r="16" spans="1:24" x14ac:dyDescent="0.2">
      <c r="A16" s="1392"/>
      <c r="B16" s="974">
        <v>100</v>
      </c>
      <c r="C16" s="975">
        <v>0.2</v>
      </c>
      <c r="D16" s="975">
        <v>-0.06</v>
      </c>
      <c r="E16" s="976" t="s">
        <v>291</v>
      </c>
      <c r="F16" s="977">
        <f t="shared" si="6"/>
        <v>0.13</v>
      </c>
      <c r="G16" s="974">
        <f>(0.59/100)*B16</f>
        <v>0.59</v>
      </c>
      <c r="H16" s="1394"/>
      <c r="I16" s="974">
        <v>100</v>
      </c>
      <c r="J16" s="975">
        <v>-7.0000000000000007E-2</v>
      </c>
      <c r="K16" s="975">
        <v>2.2000000000000002</v>
      </c>
      <c r="L16" s="976" t="s">
        <v>291</v>
      </c>
      <c r="M16" s="977">
        <f t="shared" si="7"/>
        <v>1.135</v>
      </c>
      <c r="N16" s="974">
        <f>(0.59/100)*I16</f>
        <v>0.59</v>
      </c>
      <c r="O16" s="1394"/>
      <c r="P16" s="974">
        <v>100</v>
      </c>
      <c r="Q16" s="976">
        <v>6</v>
      </c>
      <c r="R16" s="976">
        <v>-0.22</v>
      </c>
      <c r="S16" s="976">
        <v>2</v>
      </c>
      <c r="T16" s="977">
        <f t="shared" si="8"/>
        <v>3.11</v>
      </c>
      <c r="U16" s="974">
        <f t="shared" si="5"/>
        <v>0.59</v>
      </c>
      <c r="V16" s="973"/>
      <c r="W16" s="973"/>
      <c r="X16" s="973"/>
    </row>
    <row r="17" spans="1:28" x14ac:dyDescent="0.2">
      <c r="A17" s="1392"/>
      <c r="B17" s="974">
        <v>200</v>
      </c>
      <c r="C17" s="975">
        <v>0.4</v>
      </c>
      <c r="D17" s="975">
        <v>9.9999999999999995E-7</v>
      </c>
      <c r="E17" s="976" t="s">
        <v>291</v>
      </c>
      <c r="F17" s="977">
        <f t="shared" si="6"/>
        <v>0.19999950000000002</v>
      </c>
      <c r="G17" s="974">
        <f>(0.59/100)*B17</f>
        <v>1.18</v>
      </c>
      <c r="H17" s="1394"/>
      <c r="I17" s="974">
        <v>200</v>
      </c>
      <c r="J17" s="976">
        <v>-0.1</v>
      </c>
      <c r="K17" s="976">
        <v>3.3</v>
      </c>
      <c r="L17" s="976" t="s">
        <v>291</v>
      </c>
      <c r="M17" s="977">
        <f t="shared" si="7"/>
        <v>1.7</v>
      </c>
      <c r="N17" s="974">
        <f>(0.59/100)*I17</f>
        <v>1.18</v>
      </c>
      <c r="O17" s="1394"/>
      <c r="P17" s="974">
        <v>200</v>
      </c>
      <c r="Q17" s="976">
        <v>-3.6</v>
      </c>
      <c r="R17" s="976">
        <v>-0.1</v>
      </c>
      <c r="S17" s="976">
        <v>3.6</v>
      </c>
      <c r="T17" s="977">
        <f t="shared" si="8"/>
        <v>3.6</v>
      </c>
      <c r="U17" s="974">
        <f t="shared" si="5"/>
        <v>1.18</v>
      </c>
      <c r="V17" s="973"/>
      <c r="W17" s="973"/>
      <c r="X17" s="973"/>
    </row>
    <row r="18" spans="1:28" x14ac:dyDescent="0.2">
      <c r="A18" s="1392"/>
      <c r="B18" s="974">
        <v>500</v>
      </c>
      <c r="C18" s="975">
        <v>3.8</v>
      </c>
      <c r="D18" s="975">
        <v>-0.9</v>
      </c>
      <c r="E18" s="976" t="s">
        <v>291</v>
      </c>
      <c r="F18" s="977">
        <f t="shared" si="6"/>
        <v>2.35</v>
      </c>
      <c r="G18" s="974">
        <f>(0.59/100)*B18</f>
        <v>2.9499999999999997</v>
      </c>
      <c r="H18" s="1394"/>
      <c r="I18" s="974">
        <v>500</v>
      </c>
      <c r="J18" s="976">
        <v>0.8</v>
      </c>
      <c r="K18" s="976">
        <v>2</v>
      </c>
      <c r="L18" s="976" t="s">
        <v>291</v>
      </c>
      <c r="M18" s="977">
        <f t="shared" si="7"/>
        <v>0.6</v>
      </c>
      <c r="N18" s="974">
        <f>(0.59/100)*I18</f>
        <v>2.9499999999999997</v>
      </c>
      <c r="O18" s="1394"/>
      <c r="P18" s="974">
        <v>500</v>
      </c>
      <c r="Q18" s="976">
        <v>-18.8</v>
      </c>
      <c r="R18" s="976">
        <v>-1.1000000000000001</v>
      </c>
      <c r="S18" s="976">
        <v>2.9</v>
      </c>
      <c r="T18" s="977">
        <f t="shared" si="8"/>
        <v>10.85</v>
      </c>
      <c r="U18" s="974">
        <f t="shared" si="5"/>
        <v>2.9499999999999997</v>
      </c>
      <c r="V18" s="973"/>
      <c r="W18" s="973"/>
      <c r="X18" s="973"/>
      <c r="AB18" s="156"/>
    </row>
    <row r="19" spans="1:28" x14ac:dyDescent="0.2">
      <c r="A19" s="1392"/>
      <c r="B19" s="974">
        <v>1000</v>
      </c>
      <c r="C19" s="975">
        <v>9.9999999999999995E-7</v>
      </c>
      <c r="D19" s="975">
        <v>9.9999999999999995E-7</v>
      </c>
      <c r="E19" s="976" t="s">
        <v>291</v>
      </c>
      <c r="F19" s="977">
        <f t="shared" si="6"/>
        <v>0</v>
      </c>
      <c r="G19" s="974">
        <v>2.95</v>
      </c>
      <c r="H19" s="1394"/>
      <c r="I19" s="974">
        <v>1000</v>
      </c>
      <c r="J19" s="975">
        <v>9.9999999999999995E-7</v>
      </c>
      <c r="K19" s="975">
        <v>9.9999999999999995E-7</v>
      </c>
      <c r="L19" s="976" t="s">
        <v>291</v>
      </c>
      <c r="M19" s="977">
        <f t="shared" si="7"/>
        <v>0</v>
      </c>
      <c r="N19" s="974">
        <v>2.95</v>
      </c>
      <c r="O19" s="1394"/>
      <c r="P19" s="974">
        <v>1000</v>
      </c>
      <c r="Q19" s="976">
        <v>-47</v>
      </c>
      <c r="R19" s="976">
        <v>3</v>
      </c>
      <c r="S19" s="976">
        <v>3</v>
      </c>
      <c r="T19" s="977">
        <f t="shared" si="8"/>
        <v>25</v>
      </c>
      <c r="U19" s="974">
        <f t="shared" si="5"/>
        <v>5.8999999999999995</v>
      </c>
      <c r="V19" s="973"/>
      <c r="W19" s="973"/>
      <c r="X19" s="973"/>
    </row>
    <row r="20" spans="1:28" x14ac:dyDescent="0.2">
      <c r="A20" s="1392"/>
      <c r="B20" s="1391" t="s">
        <v>356</v>
      </c>
      <c r="C20" s="1391"/>
      <c r="D20" s="1391"/>
      <c r="E20" s="1391"/>
      <c r="F20" s="1384" t="s">
        <v>352</v>
      </c>
      <c r="G20" s="1384" t="s">
        <v>284</v>
      </c>
      <c r="H20" s="1394"/>
      <c r="I20" s="1391" t="str">
        <f>B20</f>
        <v>Main-PE</v>
      </c>
      <c r="J20" s="1391"/>
      <c r="K20" s="1391"/>
      <c r="L20" s="1391"/>
      <c r="M20" s="1384" t="s">
        <v>352</v>
      </c>
      <c r="N20" s="1384" t="s">
        <v>284</v>
      </c>
      <c r="O20" s="1394"/>
      <c r="P20" s="1391" t="str">
        <f>B20</f>
        <v>Main-PE</v>
      </c>
      <c r="Q20" s="1391"/>
      <c r="R20" s="1391"/>
      <c r="S20" s="1391"/>
      <c r="T20" s="1384" t="s">
        <v>352</v>
      </c>
      <c r="U20" s="1384" t="s">
        <v>284</v>
      </c>
      <c r="V20" s="973"/>
      <c r="W20" s="973"/>
      <c r="X20" s="973"/>
    </row>
    <row r="21" spans="1:28" ht="15" x14ac:dyDescent="0.2">
      <c r="A21" s="1392"/>
      <c r="B21" s="968" t="s">
        <v>564</v>
      </c>
      <c r="C21" s="970">
        <f>C5</f>
        <v>2020</v>
      </c>
      <c r="D21" s="970">
        <f>D5</f>
        <v>2019</v>
      </c>
      <c r="E21" s="969" t="str">
        <f>E5</f>
        <v>-</v>
      </c>
      <c r="F21" s="1384"/>
      <c r="G21" s="1384"/>
      <c r="H21" s="1394"/>
      <c r="I21" s="968" t="s">
        <v>564</v>
      </c>
      <c r="J21" s="970">
        <f>J5</f>
        <v>2019</v>
      </c>
      <c r="K21" s="970">
        <f>K5</f>
        <v>2017</v>
      </c>
      <c r="L21" s="970" t="str">
        <f>L5</f>
        <v>-</v>
      </c>
      <c r="M21" s="1384"/>
      <c r="N21" s="1384"/>
      <c r="O21" s="1394"/>
      <c r="P21" s="968" t="s">
        <v>564</v>
      </c>
      <c r="Q21" s="970">
        <f>Q5</f>
        <v>2022</v>
      </c>
      <c r="R21" s="970">
        <f>R5</f>
        <v>2021</v>
      </c>
      <c r="S21" s="970">
        <f>S5</f>
        <v>2018</v>
      </c>
      <c r="T21" s="1384"/>
      <c r="U21" s="1384"/>
      <c r="V21" s="973"/>
      <c r="W21" s="973"/>
      <c r="X21" s="973"/>
    </row>
    <row r="22" spans="1:28" x14ac:dyDescent="0.2">
      <c r="A22" s="1392"/>
      <c r="B22" s="974">
        <v>10</v>
      </c>
      <c r="C22" s="975">
        <v>-1E-3</v>
      </c>
      <c r="D22" s="975">
        <v>9.9999999999999995E-7</v>
      </c>
      <c r="E22" s="976" t="s">
        <v>291</v>
      </c>
      <c r="F22" s="977">
        <f>0.5*(MAX(C22:E22)-MIN(C22:E22))</f>
        <v>5.0049999999999997E-4</v>
      </c>
      <c r="G22" s="974">
        <v>0</v>
      </c>
      <c r="H22" s="1394"/>
      <c r="I22" s="974">
        <v>10</v>
      </c>
      <c r="J22" s="975">
        <v>0.1</v>
      </c>
      <c r="K22" s="975">
        <v>9.9999999999999995E-7</v>
      </c>
      <c r="L22" s="976" t="s">
        <v>291</v>
      </c>
      <c r="M22" s="977">
        <f>0.5*(MAX(J22:L22)-MIN(J22:L22))</f>
        <v>4.9999500000000002E-2</v>
      </c>
      <c r="N22" s="974">
        <f>(0.59/100)*I22</f>
        <v>5.8999999999999997E-2</v>
      </c>
      <c r="O22" s="1394"/>
      <c r="P22" s="974">
        <v>5</v>
      </c>
      <c r="Q22" s="976">
        <v>9.9999999999999995E-7</v>
      </c>
      <c r="R22" s="976">
        <v>9.9999999999999995E-7</v>
      </c>
      <c r="S22" s="976">
        <v>9.9999999999999995E-7</v>
      </c>
      <c r="T22" s="977">
        <f>0.5*(MAX(Q22:S22)-MIN(Q22:S22))</f>
        <v>0</v>
      </c>
      <c r="U22" s="974">
        <f>(1.7/100)*P22</f>
        <v>8.5000000000000006E-2</v>
      </c>
      <c r="V22" s="973"/>
      <c r="W22" s="973"/>
      <c r="X22" s="973"/>
    </row>
    <row r="23" spans="1:28" x14ac:dyDescent="0.2">
      <c r="A23" s="1392"/>
      <c r="B23" s="974">
        <v>20</v>
      </c>
      <c r="C23" s="975">
        <v>9.9999999999999995E-7</v>
      </c>
      <c r="D23" s="975">
        <v>9.9999999999999995E-7</v>
      </c>
      <c r="E23" s="976" t="s">
        <v>291</v>
      </c>
      <c r="F23" s="977">
        <f t="shared" ref="F23:F25" si="9">0.5*(MAX(C23:E23)-MIN(C23:E23))</f>
        <v>0</v>
      </c>
      <c r="G23" s="974">
        <v>0</v>
      </c>
      <c r="H23" s="1394"/>
      <c r="I23" s="974">
        <v>20</v>
      </c>
      <c r="J23" s="975">
        <v>0.2</v>
      </c>
      <c r="K23" s="975">
        <v>0.1</v>
      </c>
      <c r="L23" s="976" t="s">
        <v>291</v>
      </c>
      <c r="M23" s="977">
        <f t="shared" ref="M23:M25" si="10">0.5*(MAX(J23:L23)-MIN(J23:L23))</f>
        <v>0.05</v>
      </c>
      <c r="N23" s="974">
        <f>(0.59/100)*I23</f>
        <v>0.11799999999999999</v>
      </c>
      <c r="O23" s="1394"/>
      <c r="P23" s="974">
        <v>10</v>
      </c>
      <c r="Q23" s="976">
        <v>9.9999999999999995E-7</v>
      </c>
      <c r="R23" s="976">
        <v>9.9999999999999995E-7</v>
      </c>
      <c r="S23" s="976">
        <v>9.9999999999999995E-7</v>
      </c>
      <c r="T23" s="977">
        <f t="shared" ref="T23:T25" si="11">0.5*(MAX(Q23:S23)-MIN(Q23:S23))</f>
        <v>0</v>
      </c>
      <c r="U23" s="974">
        <f>(1.7/100)*P23</f>
        <v>0.17</v>
      </c>
      <c r="V23" s="973"/>
      <c r="W23" s="973"/>
      <c r="X23" s="973"/>
    </row>
    <row r="24" spans="1:28" x14ac:dyDescent="0.2">
      <c r="A24" s="1392"/>
      <c r="B24" s="974">
        <v>50</v>
      </c>
      <c r="C24" s="975">
        <v>9.9999999999999995E-7</v>
      </c>
      <c r="D24" s="975">
        <v>9.9999999999999995E-7</v>
      </c>
      <c r="E24" s="976" t="s">
        <v>291</v>
      </c>
      <c r="F24" s="977">
        <f t="shared" si="9"/>
        <v>0</v>
      </c>
      <c r="G24" s="974">
        <v>0</v>
      </c>
      <c r="H24" s="1394"/>
      <c r="I24" s="974">
        <v>50</v>
      </c>
      <c r="J24" s="975">
        <v>0.3</v>
      </c>
      <c r="K24" s="975">
        <v>0.1</v>
      </c>
      <c r="L24" s="976" t="s">
        <v>291</v>
      </c>
      <c r="M24" s="977">
        <f t="shared" si="10"/>
        <v>9.9999999999999992E-2</v>
      </c>
      <c r="N24" s="974">
        <f>(0.59/100)*I24</f>
        <v>0.29499999999999998</v>
      </c>
      <c r="O24" s="1394"/>
      <c r="P24" s="974">
        <v>20</v>
      </c>
      <c r="Q24" s="976">
        <v>9.9999999999999995E-7</v>
      </c>
      <c r="R24" s="976">
        <v>0.4</v>
      </c>
      <c r="S24" s="976">
        <v>0.3</v>
      </c>
      <c r="T24" s="977">
        <f t="shared" si="11"/>
        <v>0.19999950000000002</v>
      </c>
      <c r="U24" s="974">
        <f>(1.7/100)*P24</f>
        <v>0.34</v>
      </c>
      <c r="V24" s="973"/>
      <c r="W24" s="973"/>
      <c r="X24" s="973"/>
    </row>
    <row r="25" spans="1:28" x14ac:dyDescent="0.2">
      <c r="A25" s="1392"/>
      <c r="B25" s="974">
        <v>100</v>
      </c>
      <c r="C25" s="975">
        <v>9.9999999999999995E-7</v>
      </c>
      <c r="D25" s="975">
        <v>9.9999999999999995E-7</v>
      </c>
      <c r="E25" s="976" t="s">
        <v>291</v>
      </c>
      <c r="F25" s="977">
        <f t="shared" si="9"/>
        <v>0</v>
      </c>
      <c r="G25" s="974">
        <v>0</v>
      </c>
      <c r="H25" s="1394"/>
      <c r="I25" s="974">
        <v>100</v>
      </c>
      <c r="J25" s="975">
        <v>0.3</v>
      </c>
      <c r="K25" s="975">
        <v>9.9999999999999995E-7</v>
      </c>
      <c r="L25" s="976" t="s">
        <v>291</v>
      </c>
      <c r="M25" s="977">
        <f t="shared" si="10"/>
        <v>0.14999950000000001</v>
      </c>
      <c r="N25" s="974">
        <f>(0.59/100)*I25</f>
        <v>0.59</v>
      </c>
      <c r="O25" s="1394"/>
      <c r="P25" s="974">
        <v>50</v>
      </c>
      <c r="Q25" s="976">
        <v>0.1</v>
      </c>
      <c r="R25" s="976">
        <v>1.1000000000000001</v>
      </c>
      <c r="S25" s="976">
        <v>0.6</v>
      </c>
      <c r="T25" s="977">
        <f t="shared" si="11"/>
        <v>0.5</v>
      </c>
      <c r="U25" s="974">
        <f>(1.7/100)*P25</f>
        <v>0.85000000000000009</v>
      </c>
      <c r="V25" s="973"/>
      <c r="W25" s="973"/>
      <c r="X25" s="973"/>
    </row>
    <row r="26" spans="1:28" ht="13.15" customHeight="1" x14ac:dyDescent="0.2">
      <c r="A26" s="1392"/>
      <c r="B26" s="1391" t="s">
        <v>357</v>
      </c>
      <c r="C26" s="1391"/>
      <c r="D26" s="1391"/>
      <c r="E26" s="1391"/>
      <c r="F26" s="1384" t="s">
        <v>352</v>
      </c>
      <c r="G26" s="1384" t="s">
        <v>284</v>
      </c>
      <c r="H26" s="1394"/>
      <c r="I26" s="1391" t="str">
        <f>B26</f>
        <v>Resistance</v>
      </c>
      <c r="J26" s="1391"/>
      <c r="K26" s="1391"/>
      <c r="L26" s="1391"/>
      <c r="M26" s="1384" t="s">
        <v>352</v>
      </c>
      <c r="N26" s="1384" t="s">
        <v>284</v>
      </c>
      <c r="O26" s="1394"/>
      <c r="P26" s="1391" t="str">
        <f>B26</f>
        <v>Resistance</v>
      </c>
      <c r="Q26" s="1391"/>
      <c r="R26" s="1391"/>
      <c r="S26" s="1391"/>
      <c r="T26" s="1384" t="s">
        <v>352</v>
      </c>
      <c r="U26" s="1384" t="s">
        <v>284</v>
      </c>
      <c r="V26" s="973"/>
      <c r="W26" s="980"/>
      <c r="X26" s="973"/>
    </row>
    <row r="27" spans="1:28" ht="15" x14ac:dyDescent="0.2">
      <c r="A27" s="1392"/>
      <c r="B27" s="968" t="s">
        <v>565</v>
      </c>
      <c r="C27" s="970">
        <f>C5</f>
        <v>2020</v>
      </c>
      <c r="D27" s="970">
        <f>D5</f>
        <v>2019</v>
      </c>
      <c r="E27" s="969" t="str">
        <f>E5</f>
        <v>-</v>
      </c>
      <c r="F27" s="1384"/>
      <c r="G27" s="1384"/>
      <c r="H27" s="1394"/>
      <c r="I27" s="968" t="s">
        <v>565</v>
      </c>
      <c r="J27" s="970">
        <f>J5</f>
        <v>2019</v>
      </c>
      <c r="K27" s="970">
        <f>K5</f>
        <v>2017</v>
      </c>
      <c r="L27" s="970" t="str">
        <f>L5</f>
        <v>-</v>
      </c>
      <c r="M27" s="1384"/>
      <c r="N27" s="1384"/>
      <c r="O27" s="1394"/>
      <c r="P27" s="968" t="s">
        <v>565</v>
      </c>
      <c r="Q27" s="970">
        <f>Q5</f>
        <v>2022</v>
      </c>
      <c r="R27" s="970">
        <f>R5</f>
        <v>2021</v>
      </c>
      <c r="S27" s="970">
        <f>S5</f>
        <v>2018</v>
      </c>
      <c r="T27" s="1384"/>
      <c r="U27" s="1384"/>
      <c r="V27" s="973"/>
      <c r="W27" s="973"/>
      <c r="X27" s="973"/>
    </row>
    <row r="28" spans="1:28" x14ac:dyDescent="0.2">
      <c r="A28" s="1392"/>
      <c r="B28" s="974">
        <v>0</v>
      </c>
      <c r="C28" s="975">
        <v>9.9999999999999995E-7</v>
      </c>
      <c r="D28" s="975">
        <v>9.9999999999999995E-7</v>
      </c>
      <c r="E28" s="976" t="s">
        <v>291</v>
      </c>
      <c r="F28" s="977">
        <f>0.5*(MAX(C28:E28)-MIN(C28:E28))</f>
        <v>0</v>
      </c>
      <c r="G28" s="974">
        <f>(1.2/100)*B28</f>
        <v>0</v>
      </c>
      <c r="H28" s="1394"/>
      <c r="I28" s="974">
        <v>0.01</v>
      </c>
      <c r="J28" s="975">
        <v>9.9999999999999995E-7</v>
      </c>
      <c r="K28" s="975">
        <v>9.9999999999999995E-7</v>
      </c>
      <c r="L28" s="976" t="s">
        <v>291</v>
      </c>
      <c r="M28" s="977">
        <f>0.5*(MAX(J28:L28)-MIN(J28:L28))</f>
        <v>0</v>
      </c>
      <c r="N28" s="974">
        <f>(1.2/100)*I28</f>
        <v>1.2E-4</v>
      </c>
      <c r="O28" s="1394"/>
      <c r="P28" s="974">
        <v>9.9999999999999995E-7</v>
      </c>
      <c r="Q28" s="976">
        <v>-1E-3</v>
      </c>
      <c r="R28" s="976">
        <v>9.9999999999999995E-7</v>
      </c>
      <c r="S28" s="976">
        <v>9.9999999999999995E-7</v>
      </c>
      <c r="T28" s="977">
        <f>0.5*(MAX(Q28:S28)-MIN(Q28:S28))</f>
        <v>5.0049999999999997E-4</v>
      </c>
      <c r="U28" s="974">
        <f>(1.2/100)*P28</f>
        <v>1.2E-8</v>
      </c>
      <c r="V28" s="973"/>
      <c r="W28" s="973"/>
      <c r="X28" s="973"/>
    </row>
    <row r="29" spans="1:28" x14ac:dyDescent="0.2">
      <c r="A29" s="1392"/>
      <c r="B29" s="974">
        <v>0.1</v>
      </c>
      <c r="C29" s="975">
        <v>-1E-3</v>
      </c>
      <c r="D29" s="975">
        <v>2E-3</v>
      </c>
      <c r="E29" s="976" t="s">
        <v>291</v>
      </c>
      <c r="F29" s="977">
        <f t="shared" ref="F29:F31" si="12">0.5*(MAX(C29:E29)-MIN(C29:E29))</f>
        <v>1.5E-3</v>
      </c>
      <c r="G29" s="974">
        <f>(1.2/100)*B29</f>
        <v>1.2000000000000001E-3</v>
      </c>
      <c r="H29" s="1394"/>
      <c r="I29" s="974">
        <v>0.1</v>
      </c>
      <c r="J29" s="975">
        <v>6.0000000000000001E-3</v>
      </c>
      <c r="K29" s="975">
        <v>5.0000000000000001E-3</v>
      </c>
      <c r="L29" s="976" t="s">
        <v>291</v>
      </c>
      <c r="M29" s="977">
        <f t="shared" ref="M29:M31" si="13">0.5*(MAX(J29:L29)-MIN(J29:L29))</f>
        <v>5.0000000000000001E-4</v>
      </c>
      <c r="N29" s="974">
        <f>(1.2/100)*I29</f>
        <v>1.2000000000000001E-3</v>
      </c>
      <c r="O29" s="1394"/>
      <c r="P29" s="974">
        <v>0.5</v>
      </c>
      <c r="Q29" s="976">
        <v>-2E-3</v>
      </c>
      <c r="R29" s="976">
        <v>-1E-3</v>
      </c>
      <c r="S29" s="976">
        <v>9.9999999999999995E-7</v>
      </c>
      <c r="T29" s="977">
        <f t="shared" ref="T29:T31" si="14">0.5*(MAX(Q29:S29)-MIN(Q29:S29))</f>
        <v>1.0005000000000001E-3</v>
      </c>
      <c r="U29" s="974">
        <f>(1.2/100)*P29</f>
        <v>6.0000000000000001E-3</v>
      </c>
      <c r="V29" s="973"/>
      <c r="W29" s="973"/>
      <c r="X29" s="973"/>
    </row>
    <row r="30" spans="1:28" x14ac:dyDescent="0.2">
      <c r="A30" s="1392"/>
      <c r="B30" s="974">
        <v>1</v>
      </c>
      <c r="C30" s="975">
        <v>4.0000000000000001E-3</v>
      </c>
      <c r="D30" s="975">
        <v>1.2E-2</v>
      </c>
      <c r="E30" s="976" t="s">
        <v>291</v>
      </c>
      <c r="F30" s="977">
        <f t="shared" si="12"/>
        <v>4.0000000000000001E-3</v>
      </c>
      <c r="G30" s="974">
        <f>(1.2/100)*B30</f>
        <v>1.2E-2</v>
      </c>
      <c r="H30" s="1394"/>
      <c r="I30" s="974">
        <v>1</v>
      </c>
      <c r="J30" s="975">
        <v>4.4999999999999998E-2</v>
      </c>
      <c r="K30" s="975">
        <v>5.5E-2</v>
      </c>
      <c r="L30" s="976" t="s">
        <v>291</v>
      </c>
      <c r="M30" s="977">
        <f t="shared" si="13"/>
        <v>5.000000000000001E-3</v>
      </c>
      <c r="N30" s="974">
        <f>(1.2/100)*I30</f>
        <v>1.2E-2</v>
      </c>
      <c r="O30" s="1394"/>
      <c r="P30" s="974">
        <v>1</v>
      </c>
      <c r="Q30" s="976">
        <v>-1.2E-2</v>
      </c>
      <c r="R30" s="976">
        <v>5.0000000000000001E-3</v>
      </c>
      <c r="S30" s="976">
        <v>9.9999999999999995E-7</v>
      </c>
      <c r="T30" s="977">
        <f t="shared" si="14"/>
        <v>8.5000000000000006E-3</v>
      </c>
      <c r="U30" s="974">
        <f>(1.2/100)*P30</f>
        <v>1.2E-2</v>
      </c>
      <c r="V30" s="973"/>
      <c r="W30" s="973"/>
      <c r="X30" s="973"/>
    </row>
    <row r="31" spans="1:28" x14ac:dyDescent="0.2">
      <c r="A31" s="1392"/>
      <c r="B31" s="974">
        <v>2</v>
      </c>
      <c r="C31" s="975">
        <v>7.0000000000000001E-3</v>
      </c>
      <c r="D31" s="975">
        <v>9.9999999999999995E-7</v>
      </c>
      <c r="E31" s="976" t="s">
        <v>291</v>
      </c>
      <c r="F31" s="977">
        <f t="shared" si="12"/>
        <v>3.4995E-3</v>
      </c>
      <c r="G31" s="974">
        <f>(1.2/100)*B31</f>
        <v>2.4E-2</v>
      </c>
      <c r="H31" s="1394"/>
      <c r="I31" s="974">
        <v>2</v>
      </c>
      <c r="J31" s="975">
        <v>9.9999999999999995E-7</v>
      </c>
      <c r="K31" s="975">
        <v>9.9999999999999995E-7</v>
      </c>
      <c r="L31" s="976" t="s">
        <v>291</v>
      </c>
      <c r="M31" s="977">
        <f t="shared" si="13"/>
        <v>0</v>
      </c>
      <c r="N31" s="974">
        <f>(0/100)*I31</f>
        <v>0</v>
      </c>
      <c r="O31" s="1394"/>
      <c r="P31" s="974">
        <v>2</v>
      </c>
      <c r="Q31" s="976">
        <v>-8.0000000000000002E-3</v>
      </c>
      <c r="R31" s="976">
        <v>1.4E-2</v>
      </c>
      <c r="S31" s="976">
        <v>9.9999999999999995E-7</v>
      </c>
      <c r="T31" s="977">
        <f t="shared" si="14"/>
        <v>1.0999999999999999E-2</v>
      </c>
      <c r="U31" s="974">
        <f>(1.2/100)*P31</f>
        <v>2.4E-2</v>
      </c>
      <c r="V31" s="973"/>
      <c r="W31" s="973"/>
      <c r="X31" s="973"/>
    </row>
    <row r="32" spans="1:28" x14ac:dyDescent="0.2">
      <c r="A32" s="981"/>
      <c r="T32" s="982"/>
      <c r="V32" s="973"/>
      <c r="W32" s="973"/>
      <c r="X32" s="973"/>
    </row>
    <row r="33" spans="1:24" ht="15" x14ac:dyDescent="0.2">
      <c r="A33" s="1392" t="s">
        <v>126</v>
      </c>
      <c r="B33" s="1393" t="s">
        <v>358</v>
      </c>
      <c r="C33" s="1393"/>
      <c r="D33" s="1393"/>
      <c r="E33" s="1393"/>
      <c r="F33" s="1393"/>
      <c r="G33" s="1393"/>
      <c r="H33" s="1394" t="s">
        <v>128</v>
      </c>
      <c r="I33" s="1395" t="s">
        <v>359</v>
      </c>
      <c r="J33" s="1395"/>
      <c r="K33" s="1395"/>
      <c r="L33" s="1395"/>
      <c r="M33" s="1395"/>
      <c r="N33" s="1395"/>
      <c r="O33" s="1394" t="s">
        <v>360</v>
      </c>
      <c r="P33" s="1393" t="s">
        <v>361</v>
      </c>
      <c r="Q33" s="1393"/>
      <c r="R33" s="1393"/>
      <c r="S33" s="1393"/>
      <c r="T33" s="1393"/>
      <c r="U33" s="1393"/>
      <c r="V33" s="973"/>
      <c r="W33" s="973"/>
      <c r="X33" s="973"/>
    </row>
    <row r="34" spans="1:24" ht="15" x14ac:dyDescent="0.25">
      <c r="A34" s="1392"/>
      <c r="B34" s="1396" t="s">
        <v>350</v>
      </c>
      <c r="C34" s="1396"/>
      <c r="D34" s="1396"/>
      <c r="E34" s="1396"/>
      <c r="F34" s="1396"/>
      <c r="G34" s="1396"/>
      <c r="H34" s="1394"/>
      <c r="I34" s="1396" t="s">
        <v>350</v>
      </c>
      <c r="J34" s="1396"/>
      <c r="K34" s="1396"/>
      <c r="L34" s="1396"/>
      <c r="M34" s="1396"/>
      <c r="N34" s="1396"/>
      <c r="O34" s="1394"/>
      <c r="P34" s="1396" t="s">
        <v>350</v>
      </c>
      <c r="Q34" s="1396"/>
      <c r="R34" s="1396"/>
      <c r="S34" s="1396"/>
      <c r="T34" s="1396"/>
      <c r="U34" s="1396"/>
      <c r="V34" s="973"/>
      <c r="W34" s="973"/>
      <c r="X34" s="973"/>
    </row>
    <row r="35" spans="1:24" x14ac:dyDescent="0.2">
      <c r="A35" s="1392"/>
      <c r="B35" s="1384" t="str">
        <f>B4</f>
        <v>Setting VAC</v>
      </c>
      <c r="C35" s="1384"/>
      <c r="D35" s="1384"/>
      <c r="E35" s="1384"/>
      <c r="F35" s="1384" t="s">
        <v>352</v>
      </c>
      <c r="G35" s="1384" t="s">
        <v>284</v>
      </c>
      <c r="H35" s="1394"/>
      <c r="I35" s="1384" t="str">
        <f>B35</f>
        <v>Setting VAC</v>
      </c>
      <c r="J35" s="1384"/>
      <c r="K35" s="1384"/>
      <c r="L35" s="1384"/>
      <c r="M35" s="1384" t="s">
        <v>352</v>
      </c>
      <c r="N35" s="1384" t="s">
        <v>284</v>
      </c>
      <c r="O35" s="1394"/>
      <c r="P35" s="1384" t="str">
        <f>I35</f>
        <v>Setting VAC</v>
      </c>
      <c r="Q35" s="1384"/>
      <c r="R35" s="1384"/>
      <c r="S35" s="1384"/>
      <c r="T35" s="1384" t="s">
        <v>352</v>
      </c>
      <c r="U35" s="1384" t="s">
        <v>284</v>
      </c>
      <c r="V35" s="973"/>
      <c r="W35" s="973"/>
      <c r="X35" s="973"/>
    </row>
    <row r="36" spans="1:24" ht="15" x14ac:dyDescent="0.2">
      <c r="A36" s="1392"/>
      <c r="B36" s="968" t="s">
        <v>353</v>
      </c>
      <c r="C36" s="970">
        <v>2021</v>
      </c>
      <c r="D36" s="970">
        <v>2019</v>
      </c>
      <c r="E36" s="971" t="s">
        <v>291</v>
      </c>
      <c r="F36" s="1384"/>
      <c r="G36" s="1384"/>
      <c r="H36" s="1394"/>
      <c r="I36" s="968" t="s">
        <v>353</v>
      </c>
      <c r="J36" s="970">
        <v>2021</v>
      </c>
      <c r="K36" s="970">
        <v>2019</v>
      </c>
      <c r="L36" s="971" t="s">
        <v>291</v>
      </c>
      <c r="M36" s="1384"/>
      <c r="N36" s="1384"/>
      <c r="O36" s="1394"/>
      <c r="P36" s="968" t="s">
        <v>353</v>
      </c>
      <c r="Q36" s="970">
        <v>2019</v>
      </c>
      <c r="R36" s="970">
        <v>2018</v>
      </c>
      <c r="S36" s="971" t="s">
        <v>291</v>
      </c>
      <c r="T36" s="1384"/>
      <c r="U36" s="1384"/>
      <c r="V36" s="972"/>
      <c r="W36" s="972"/>
      <c r="X36" s="973"/>
    </row>
    <row r="37" spans="1:24" x14ac:dyDescent="0.2">
      <c r="A37" s="1392"/>
      <c r="B37" s="974">
        <v>150</v>
      </c>
      <c r="C37" s="976">
        <v>-0.05</v>
      </c>
      <c r="D37" s="976">
        <v>0.11</v>
      </c>
      <c r="E37" s="983"/>
      <c r="F37" s="977">
        <f>0.5*(MAX(C37:E37)-MIN(C37:E37))</f>
        <v>0.08</v>
      </c>
      <c r="G37" s="974">
        <f>(1.2/100)*B37</f>
        <v>1.8</v>
      </c>
      <c r="H37" s="1394"/>
      <c r="I37" s="974">
        <v>150</v>
      </c>
      <c r="J37" s="976">
        <v>0.25</v>
      </c>
      <c r="K37" s="976">
        <v>0.02</v>
      </c>
      <c r="L37" s="983"/>
      <c r="M37" s="977">
        <f>0.5*(MAX(J37:L37)-MIN(J37:L37))</f>
        <v>0.115</v>
      </c>
      <c r="N37" s="974">
        <f>(1.2/100)*I37</f>
        <v>1.8</v>
      </c>
      <c r="O37" s="1394"/>
      <c r="P37" s="974">
        <v>150</v>
      </c>
      <c r="Q37" s="976">
        <v>-0.15</v>
      </c>
      <c r="R37" s="976">
        <v>0.03</v>
      </c>
      <c r="S37" s="983"/>
      <c r="T37" s="977">
        <f>0.5*(MAX(Q37:S37)-MIN(Q37:S37))</f>
        <v>0.09</v>
      </c>
      <c r="U37" s="974">
        <f>(1.2/100)*P37</f>
        <v>1.8</v>
      </c>
      <c r="V37" s="978"/>
      <c r="W37" s="979"/>
      <c r="X37" s="973"/>
    </row>
    <row r="38" spans="1:24" x14ac:dyDescent="0.2">
      <c r="A38" s="1392"/>
      <c r="B38" s="974">
        <v>180</v>
      </c>
      <c r="C38" s="976">
        <v>-0.04</v>
      </c>
      <c r="D38" s="976">
        <v>0.03</v>
      </c>
      <c r="E38" s="983"/>
      <c r="F38" s="977">
        <f t="shared" ref="F38:F42" si="15">0.5*(MAX(C38:E38)-MIN(C38:E38))</f>
        <v>3.5000000000000003E-2</v>
      </c>
      <c r="G38" s="974">
        <f>(1.2/100)*B38</f>
        <v>2.16</v>
      </c>
      <c r="H38" s="1394"/>
      <c r="I38" s="974">
        <v>180</v>
      </c>
      <c r="J38" s="976">
        <v>0.09</v>
      </c>
      <c r="K38" s="976">
        <v>0.1</v>
      </c>
      <c r="L38" s="983"/>
      <c r="M38" s="977">
        <f t="shared" ref="M38:M42" si="16">0.5*(MAX(J38:L38)-MIN(J38:L38))</f>
        <v>5.0000000000000044E-3</v>
      </c>
      <c r="N38" s="974">
        <f>(1.2/100)*I38</f>
        <v>2.16</v>
      </c>
      <c r="O38" s="1394"/>
      <c r="P38" s="974">
        <v>180</v>
      </c>
      <c r="Q38" s="976">
        <v>-0.11</v>
      </c>
      <c r="R38" s="976">
        <v>9.9999999999999995E-7</v>
      </c>
      <c r="S38" s="983"/>
      <c r="T38" s="977">
        <f t="shared" ref="T38:T42" si="17">0.5*(MAX(Q38:S38)-MIN(Q38:S38))</f>
        <v>5.5000500000000001E-2</v>
      </c>
      <c r="U38" s="974">
        <f>(1.2/100)*P38</f>
        <v>2.16</v>
      </c>
      <c r="V38" s="978"/>
      <c r="W38" s="979"/>
      <c r="X38" s="973"/>
    </row>
    <row r="39" spans="1:24" x14ac:dyDescent="0.2">
      <c r="A39" s="1392"/>
      <c r="B39" s="974">
        <v>200</v>
      </c>
      <c r="C39" s="976">
        <v>-0.67</v>
      </c>
      <c r="D39" s="976">
        <v>0.05</v>
      </c>
      <c r="E39" s="983"/>
      <c r="F39" s="977">
        <f t="shared" si="15"/>
        <v>0.36000000000000004</v>
      </c>
      <c r="G39" s="974">
        <f>(1.2/100)*B39</f>
        <v>2.4</v>
      </c>
      <c r="H39" s="1394"/>
      <c r="I39" s="974">
        <v>200</v>
      </c>
      <c r="J39" s="976">
        <v>0.18</v>
      </c>
      <c r="K39" s="976">
        <v>-0.03</v>
      </c>
      <c r="L39" s="983"/>
      <c r="M39" s="977">
        <f t="shared" si="16"/>
        <v>0.105</v>
      </c>
      <c r="N39" s="974">
        <f>(1.2/100)*I39</f>
        <v>2.4</v>
      </c>
      <c r="O39" s="1394"/>
      <c r="P39" s="974">
        <v>200</v>
      </c>
      <c r="Q39" s="976">
        <v>-0.1</v>
      </c>
      <c r="R39" s="976">
        <v>0.05</v>
      </c>
      <c r="S39" s="983"/>
      <c r="T39" s="977">
        <f t="shared" si="17"/>
        <v>7.5000000000000011E-2</v>
      </c>
      <c r="U39" s="974">
        <f>(1.2/100)*P39</f>
        <v>2.4</v>
      </c>
      <c r="V39" s="978"/>
      <c r="W39" s="979"/>
      <c r="X39" s="973"/>
    </row>
    <row r="40" spans="1:24" x14ac:dyDescent="0.2">
      <c r="A40" s="1392"/>
      <c r="B40" s="974">
        <v>220</v>
      </c>
      <c r="C40" s="976">
        <v>9.9999999999999995E-7</v>
      </c>
      <c r="D40" s="976">
        <v>0.1</v>
      </c>
      <c r="E40" s="983"/>
      <c r="F40" s="977">
        <f t="shared" si="15"/>
        <v>4.9999500000000002E-2</v>
      </c>
      <c r="G40" s="974">
        <f>(1.2/100)*B40</f>
        <v>2.64</v>
      </c>
      <c r="H40" s="1394"/>
      <c r="I40" s="974">
        <v>220</v>
      </c>
      <c r="J40" s="976">
        <v>0.56000000000000005</v>
      </c>
      <c r="K40" s="976">
        <v>0.38</v>
      </c>
      <c r="L40" s="983"/>
      <c r="M40" s="977">
        <f t="shared" si="16"/>
        <v>9.0000000000000024E-2</v>
      </c>
      <c r="N40" s="974">
        <f>(1.2/100)*I40</f>
        <v>2.64</v>
      </c>
      <c r="O40" s="1394"/>
      <c r="P40" s="984">
        <v>220</v>
      </c>
      <c r="Q40" s="976">
        <v>-0.13</v>
      </c>
      <c r="R40" s="976">
        <v>0.05</v>
      </c>
      <c r="S40" s="983"/>
      <c r="T40" s="977">
        <f t="shared" si="17"/>
        <v>0.09</v>
      </c>
      <c r="U40" s="984">
        <f>(1.2/100)*P40</f>
        <v>2.64</v>
      </c>
      <c r="V40" s="978"/>
      <c r="W40" s="979"/>
      <c r="X40" s="973"/>
    </row>
    <row r="41" spans="1:24" x14ac:dyDescent="0.2">
      <c r="A41" s="1392"/>
      <c r="B41" s="974">
        <v>230</v>
      </c>
      <c r="C41" s="976">
        <v>-0.11</v>
      </c>
      <c r="D41" s="976">
        <v>1.1100000000000001</v>
      </c>
      <c r="E41" s="983"/>
      <c r="F41" s="977">
        <f t="shared" si="15"/>
        <v>0.6100000000000001</v>
      </c>
      <c r="G41" s="974">
        <f>(1.2/100)*B41</f>
        <v>2.7600000000000002</v>
      </c>
      <c r="H41" s="1394"/>
      <c r="I41" s="974">
        <v>230</v>
      </c>
      <c r="J41" s="976">
        <v>0.73</v>
      </c>
      <c r="K41" s="976">
        <v>-0.16</v>
      </c>
      <c r="L41" s="983"/>
      <c r="M41" s="977">
        <f t="shared" si="16"/>
        <v>0.44500000000000001</v>
      </c>
      <c r="N41" s="974">
        <f>(1.2/100)*I41</f>
        <v>2.7600000000000002</v>
      </c>
      <c r="O41" s="1394"/>
      <c r="P41" s="974">
        <v>230</v>
      </c>
      <c r="Q41" s="976">
        <v>-0.15</v>
      </c>
      <c r="R41" s="976">
        <v>-0.05</v>
      </c>
      <c r="S41" s="983"/>
      <c r="T41" s="977">
        <f t="shared" si="17"/>
        <v>4.9999999999999996E-2</v>
      </c>
      <c r="U41" s="974">
        <f>(1.2/100)*P41</f>
        <v>2.7600000000000002</v>
      </c>
      <c r="V41" s="978"/>
      <c r="W41" s="979"/>
      <c r="X41" s="973"/>
    </row>
    <row r="42" spans="1:24" x14ac:dyDescent="0.2">
      <c r="A42" s="1392"/>
      <c r="B42" s="974">
        <v>250</v>
      </c>
      <c r="C42" s="976">
        <v>9.9999999999999995E-7</v>
      </c>
      <c r="D42" s="976">
        <v>9.9999999999999995E-7</v>
      </c>
      <c r="E42" s="983"/>
      <c r="F42" s="977">
        <f t="shared" si="15"/>
        <v>0</v>
      </c>
      <c r="G42" s="974">
        <v>2.76</v>
      </c>
      <c r="H42" s="1394"/>
      <c r="I42" s="974">
        <v>250</v>
      </c>
      <c r="J42" s="976">
        <v>9.9999999999999995E-7</v>
      </c>
      <c r="K42" s="976">
        <v>9.9999999999999995E-7</v>
      </c>
      <c r="L42" s="983"/>
      <c r="M42" s="977">
        <f t="shared" si="16"/>
        <v>0</v>
      </c>
      <c r="N42" s="974">
        <v>2.76</v>
      </c>
      <c r="O42" s="1394"/>
      <c r="P42" s="974">
        <v>250</v>
      </c>
      <c r="Q42" s="976">
        <v>9.9999999999999995E-7</v>
      </c>
      <c r="R42" s="976">
        <v>9.9999999999999995E-7</v>
      </c>
      <c r="S42" s="983"/>
      <c r="T42" s="977">
        <f t="shared" si="17"/>
        <v>0</v>
      </c>
      <c r="U42" s="974">
        <f>(0/100)*P42</f>
        <v>0</v>
      </c>
      <c r="V42" s="978"/>
      <c r="W42" s="979"/>
      <c r="X42" s="973"/>
    </row>
    <row r="43" spans="1:24" ht="12.75" customHeight="1" x14ac:dyDescent="0.2">
      <c r="A43" s="1392"/>
      <c r="B43" s="1391" t="str">
        <f>B12</f>
        <v>Current Leakage</v>
      </c>
      <c r="C43" s="1391"/>
      <c r="D43" s="1391"/>
      <c r="E43" s="1391"/>
      <c r="F43" s="1384" t="s">
        <v>352</v>
      </c>
      <c r="G43" s="1384" t="s">
        <v>284</v>
      </c>
      <c r="H43" s="1394"/>
      <c r="I43" s="1391" t="str">
        <f>B43</f>
        <v>Current Leakage</v>
      </c>
      <c r="J43" s="1391"/>
      <c r="K43" s="1391"/>
      <c r="L43" s="1391"/>
      <c r="M43" s="1384" t="s">
        <v>352</v>
      </c>
      <c r="N43" s="1384" t="s">
        <v>284</v>
      </c>
      <c r="O43" s="1394"/>
      <c r="P43" s="1391" t="str">
        <f>I43</f>
        <v>Current Leakage</v>
      </c>
      <c r="Q43" s="1391"/>
      <c r="R43" s="1391"/>
      <c r="S43" s="1391"/>
      <c r="T43" s="1384" t="s">
        <v>352</v>
      </c>
      <c r="U43" s="1384" t="s">
        <v>284</v>
      </c>
      <c r="V43" s="973"/>
      <c r="W43" s="973"/>
      <c r="X43" s="973"/>
    </row>
    <row r="44" spans="1:24" ht="15" x14ac:dyDescent="0.2">
      <c r="A44" s="1392"/>
      <c r="B44" s="968" t="s">
        <v>355</v>
      </c>
      <c r="C44" s="970">
        <f>C36</f>
        <v>2021</v>
      </c>
      <c r="D44" s="970">
        <f>D36</f>
        <v>2019</v>
      </c>
      <c r="E44" s="970" t="str">
        <f>E36</f>
        <v>-</v>
      </c>
      <c r="F44" s="1384"/>
      <c r="G44" s="1384"/>
      <c r="H44" s="1394"/>
      <c r="I44" s="968" t="s">
        <v>355</v>
      </c>
      <c r="J44" s="970">
        <f>J36</f>
        <v>2021</v>
      </c>
      <c r="K44" s="970">
        <f>K36</f>
        <v>2019</v>
      </c>
      <c r="L44" s="970" t="str">
        <f>L36</f>
        <v>-</v>
      </c>
      <c r="M44" s="1384"/>
      <c r="N44" s="1384"/>
      <c r="O44" s="1394"/>
      <c r="P44" s="968" t="s">
        <v>355</v>
      </c>
      <c r="Q44" s="970">
        <f>Q36</f>
        <v>2019</v>
      </c>
      <c r="R44" s="970">
        <f>R36</f>
        <v>2018</v>
      </c>
      <c r="S44" s="970" t="str">
        <f>S36</f>
        <v>-</v>
      </c>
      <c r="T44" s="1384"/>
      <c r="U44" s="1384"/>
      <c r="V44" s="973"/>
      <c r="W44" s="973"/>
      <c r="X44" s="973"/>
    </row>
    <row r="45" spans="1:24" x14ac:dyDescent="0.2">
      <c r="A45" s="1392"/>
      <c r="B45" s="974">
        <v>0</v>
      </c>
      <c r="C45" s="976">
        <v>9.9999999999999995E-7</v>
      </c>
      <c r="D45" s="975">
        <v>9.9999999999999995E-7</v>
      </c>
      <c r="E45" s="983"/>
      <c r="F45" s="977">
        <f>0.5*(MAX(C45:E45)-MIN(C45:E45))</f>
        <v>0</v>
      </c>
      <c r="G45" s="974">
        <v>0.3</v>
      </c>
      <c r="H45" s="1394"/>
      <c r="I45" s="974">
        <v>0</v>
      </c>
      <c r="J45" s="976">
        <v>9.9999999999999995E-7</v>
      </c>
      <c r="K45" s="976">
        <v>9.9999999999999995E-7</v>
      </c>
      <c r="L45" s="983"/>
      <c r="M45" s="977">
        <f>0.5*(MAX(J45:L45)-MIN(J45:L45))</f>
        <v>0</v>
      </c>
      <c r="N45" s="974">
        <f>(0.58/100)*I45</f>
        <v>0</v>
      </c>
      <c r="O45" s="1394"/>
      <c r="P45" s="974">
        <v>0</v>
      </c>
      <c r="Q45" s="976">
        <v>9.9999999999999995E-7</v>
      </c>
      <c r="R45" s="975">
        <v>9.9999999999999995E-7</v>
      </c>
      <c r="S45" s="983"/>
      <c r="T45" s="977">
        <f>0.5*(MAX(Q45:S45)-MIN(Q45:S45))</f>
        <v>0</v>
      </c>
      <c r="U45" s="974">
        <v>0.28999999999999998</v>
      </c>
    </row>
    <row r="46" spans="1:24" x14ac:dyDescent="0.2">
      <c r="A46" s="1392"/>
      <c r="B46" s="974">
        <v>50</v>
      </c>
      <c r="C46" s="976">
        <v>-0.3</v>
      </c>
      <c r="D46" s="976">
        <v>-0.28999999999999998</v>
      </c>
      <c r="E46" s="983"/>
      <c r="F46" s="977">
        <f t="shared" ref="F46:F50" si="18">0.5*(MAX(C46:E46)-MIN(C46:E46))</f>
        <v>5.0000000000000044E-3</v>
      </c>
      <c r="G46" s="974">
        <f>(0.59/100)*B46</f>
        <v>0.29499999999999998</v>
      </c>
      <c r="H46" s="1394"/>
      <c r="I46" s="974">
        <v>50</v>
      </c>
      <c r="J46" s="976">
        <v>0.3</v>
      </c>
      <c r="K46" s="976">
        <v>-0.33</v>
      </c>
      <c r="L46" s="983"/>
      <c r="M46" s="977">
        <f t="shared" ref="M46:M50" si="19">0.5*(MAX(J46:L46)-MIN(J46:L46))</f>
        <v>0.315</v>
      </c>
      <c r="N46" s="974">
        <f>(0.58/100)*I46</f>
        <v>0.28999999999999998</v>
      </c>
      <c r="O46" s="1394"/>
      <c r="P46" s="974">
        <v>50</v>
      </c>
      <c r="Q46" s="976">
        <v>0.02</v>
      </c>
      <c r="R46" s="976">
        <v>-0.1</v>
      </c>
      <c r="S46" s="983"/>
      <c r="T46" s="977">
        <f t="shared" ref="T46:T50" si="20">0.5*(MAX(Q46:S46)-MIN(Q46:S46))</f>
        <v>6.0000000000000005E-2</v>
      </c>
      <c r="U46" s="974">
        <f>(0.58/100)*P46</f>
        <v>0.28999999999999998</v>
      </c>
    </row>
    <row r="47" spans="1:24" x14ac:dyDescent="0.2">
      <c r="A47" s="1392"/>
      <c r="B47" s="974">
        <v>100</v>
      </c>
      <c r="C47" s="976">
        <v>-0.4</v>
      </c>
      <c r="D47" s="976">
        <v>-0.35</v>
      </c>
      <c r="E47" s="983"/>
      <c r="F47" s="977">
        <f t="shared" si="18"/>
        <v>2.5000000000000022E-2</v>
      </c>
      <c r="G47" s="974">
        <f>(0.59/100)*B47</f>
        <v>0.59</v>
      </c>
      <c r="H47" s="1394"/>
      <c r="I47" s="974">
        <v>100</v>
      </c>
      <c r="J47" s="976">
        <v>-0.1</v>
      </c>
      <c r="K47" s="976">
        <v>-0.42</v>
      </c>
      <c r="L47" s="983"/>
      <c r="M47" s="977">
        <f t="shared" si="19"/>
        <v>0.15999999999999998</v>
      </c>
      <c r="N47" s="974">
        <f>(0.58/100)*I47</f>
        <v>0.57999999999999996</v>
      </c>
      <c r="O47" s="1394"/>
      <c r="P47" s="974">
        <v>100</v>
      </c>
      <c r="Q47" s="976">
        <v>0.22</v>
      </c>
      <c r="R47" s="975">
        <v>-0.2</v>
      </c>
      <c r="S47" s="983"/>
      <c r="T47" s="977">
        <f t="shared" si="20"/>
        <v>0.21000000000000002</v>
      </c>
      <c r="U47" s="974">
        <f>(0.58/100)*P47</f>
        <v>0.57999999999999996</v>
      </c>
    </row>
    <row r="48" spans="1:24" x14ac:dyDescent="0.2">
      <c r="A48" s="1392"/>
      <c r="B48" s="974">
        <v>200</v>
      </c>
      <c r="C48" s="976">
        <v>0.3</v>
      </c>
      <c r="D48" s="976">
        <v>0.8</v>
      </c>
      <c r="E48" s="983"/>
      <c r="F48" s="977">
        <f t="shared" si="18"/>
        <v>0.25</v>
      </c>
      <c r="G48" s="974">
        <f>(0.59/100)*B48</f>
        <v>1.18</v>
      </c>
      <c r="H48" s="1394"/>
      <c r="I48" s="974">
        <v>200</v>
      </c>
      <c r="J48" s="976">
        <v>1.3</v>
      </c>
      <c r="K48" s="976">
        <v>1.3</v>
      </c>
      <c r="L48" s="983"/>
      <c r="M48" s="977">
        <f t="shared" si="19"/>
        <v>0</v>
      </c>
      <c r="N48" s="974">
        <f>(0.58/100)*I48</f>
        <v>1.1599999999999999</v>
      </c>
      <c r="O48" s="1394"/>
      <c r="P48" s="974">
        <v>200</v>
      </c>
      <c r="Q48" s="976">
        <v>0.8</v>
      </c>
      <c r="R48" s="976">
        <v>0.8</v>
      </c>
      <c r="S48" s="983"/>
      <c r="T48" s="977">
        <f t="shared" si="20"/>
        <v>0</v>
      </c>
      <c r="U48" s="974">
        <f>(0.58/100)*P48</f>
        <v>1.1599999999999999</v>
      </c>
    </row>
    <row r="49" spans="1:22" x14ac:dyDescent="0.2">
      <c r="A49" s="1392"/>
      <c r="B49" s="974">
        <v>500</v>
      </c>
      <c r="C49" s="976">
        <v>0.2</v>
      </c>
      <c r="D49" s="976">
        <v>1.2</v>
      </c>
      <c r="E49" s="983"/>
      <c r="F49" s="977">
        <f t="shared" si="18"/>
        <v>0.5</v>
      </c>
      <c r="G49" s="974">
        <f>(0.59/100)*B49</f>
        <v>2.9499999999999997</v>
      </c>
      <c r="H49" s="1394"/>
      <c r="I49" s="974">
        <v>500</v>
      </c>
      <c r="J49" s="976">
        <v>0.7</v>
      </c>
      <c r="K49" s="976">
        <v>0.7</v>
      </c>
      <c r="L49" s="983"/>
      <c r="M49" s="977">
        <f t="shared" si="19"/>
        <v>0</v>
      </c>
      <c r="N49" s="974">
        <f>(0.58/100)*I49</f>
        <v>2.9</v>
      </c>
      <c r="O49" s="1394"/>
      <c r="P49" s="974">
        <v>500</v>
      </c>
      <c r="Q49" s="976">
        <v>1.1000000000000001</v>
      </c>
      <c r="R49" s="976">
        <v>0.6</v>
      </c>
      <c r="S49" s="983"/>
      <c r="T49" s="977">
        <f t="shared" si="20"/>
        <v>0.25000000000000006</v>
      </c>
      <c r="U49" s="974">
        <f>(0.58/100)*P49</f>
        <v>2.9</v>
      </c>
    </row>
    <row r="50" spans="1:22" x14ac:dyDescent="0.2">
      <c r="A50" s="1392"/>
      <c r="B50" s="974">
        <v>1000</v>
      </c>
      <c r="C50" s="976">
        <v>2</v>
      </c>
      <c r="D50" s="976">
        <v>2</v>
      </c>
      <c r="E50" s="983"/>
      <c r="F50" s="977">
        <f t="shared" si="18"/>
        <v>0</v>
      </c>
      <c r="G50" s="974">
        <f>(0/100)*B50</f>
        <v>0</v>
      </c>
      <c r="H50" s="1394"/>
      <c r="I50" s="974">
        <v>850</v>
      </c>
      <c r="J50" s="976">
        <v>9.9999999999999995E-7</v>
      </c>
      <c r="K50" s="976">
        <v>9.9999999999999995E-7</v>
      </c>
      <c r="L50" s="983"/>
      <c r="M50" s="977">
        <f t="shared" si="19"/>
        <v>0</v>
      </c>
      <c r="N50" s="974">
        <v>2.9</v>
      </c>
      <c r="O50" s="1394"/>
      <c r="P50" s="974">
        <v>1000</v>
      </c>
      <c r="Q50" s="976">
        <v>9.9999999999999995E-7</v>
      </c>
      <c r="R50" s="975">
        <v>9.9999999999999995E-7</v>
      </c>
      <c r="S50" s="983"/>
      <c r="T50" s="977">
        <f t="shared" si="20"/>
        <v>0</v>
      </c>
      <c r="U50" s="974">
        <v>2.9</v>
      </c>
      <c r="V50" s="985"/>
    </row>
    <row r="51" spans="1:22" x14ac:dyDescent="0.2">
      <c r="A51" s="1392"/>
      <c r="B51" s="1391" t="str">
        <f>B20</f>
        <v>Main-PE</v>
      </c>
      <c r="C51" s="1391"/>
      <c r="D51" s="1391"/>
      <c r="E51" s="1391"/>
      <c r="F51" s="1384" t="s">
        <v>352</v>
      </c>
      <c r="G51" s="1384" t="s">
        <v>284</v>
      </c>
      <c r="H51" s="1394"/>
      <c r="I51" s="1391" t="str">
        <f>B51</f>
        <v>Main-PE</v>
      </c>
      <c r="J51" s="1391"/>
      <c r="K51" s="1391"/>
      <c r="L51" s="1391"/>
      <c r="M51" s="1384" t="s">
        <v>352</v>
      </c>
      <c r="N51" s="1384" t="s">
        <v>284</v>
      </c>
      <c r="O51" s="1394"/>
      <c r="P51" s="1391" t="str">
        <f>I51</f>
        <v>Main-PE</v>
      </c>
      <c r="Q51" s="1391"/>
      <c r="R51" s="1391"/>
      <c r="S51" s="1391"/>
      <c r="T51" s="1384" t="s">
        <v>352</v>
      </c>
      <c r="U51" s="1384" t="s">
        <v>284</v>
      </c>
    </row>
    <row r="52" spans="1:22" ht="15" x14ac:dyDescent="0.2">
      <c r="A52" s="1392"/>
      <c r="B52" s="968" t="s">
        <v>564</v>
      </c>
      <c r="C52" s="970">
        <f>C36</f>
        <v>2021</v>
      </c>
      <c r="D52" s="970">
        <f>D36</f>
        <v>2019</v>
      </c>
      <c r="E52" s="970" t="str">
        <f>E36</f>
        <v>-</v>
      </c>
      <c r="F52" s="1384"/>
      <c r="G52" s="1384"/>
      <c r="H52" s="1394"/>
      <c r="I52" s="968" t="s">
        <v>564</v>
      </c>
      <c r="J52" s="970">
        <f>J36</f>
        <v>2021</v>
      </c>
      <c r="K52" s="970">
        <f>K36</f>
        <v>2019</v>
      </c>
      <c r="L52" s="970" t="str">
        <f>L36</f>
        <v>-</v>
      </c>
      <c r="M52" s="1384"/>
      <c r="N52" s="1384"/>
      <c r="O52" s="1394"/>
      <c r="P52" s="968" t="s">
        <v>564</v>
      </c>
      <c r="Q52" s="970">
        <f>Q36</f>
        <v>2019</v>
      </c>
      <c r="R52" s="970">
        <f>R36</f>
        <v>2018</v>
      </c>
      <c r="S52" s="970" t="str">
        <f>S36</f>
        <v>-</v>
      </c>
      <c r="T52" s="1384"/>
      <c r="U52" s="1384"/>
    </row>
    <row r="53" spans="1:22" x14ac:dyDescent="0.2">
      <c r="A53" s="1392"/>
      <c r="B53" s="974">
        <v>10</v>
      </c>
      <c r="C53" s="976">
        <v>9.9999999999999995E-7</v>
      </c>
      <c r="D53" s="976">
        <v>0.1</v>
      </c>
      <c r="E53" s="983"/>
      <c r="F53" s="977">
        <f>0.5*(MAX(C53:E53)-MIN(C53:E53))</f>
        <v>4.9999500000000002E-2</v>
      </c>
      <c r="G53" s="974">
        <f>(1.7/100)*B53</f>
        <v>0.17</v>
      </c>
      <c r="H53" s="1394"/>
      <c r="I53" s="974">
        <v>10</v>
      </c>
      <c r="J53" s="976">
        <v>9.9999999999999995E-7</v>
      </c>
      <c r="K53" s="976">
        <v>0.1</v>
      </c>
      <c r="L53" s="983"/>
      <c r="M53" s="977">
        <f>0.5*(MAX(J53:L53)-MIN(J53:L53))</f>
        <v>4.9999500000000002E-2</v>
      </c>
      <c r="N53" s="974">
        <f>(1.7/100)*I53</f>
        <v>0.17</v>
      </c>
      <c r="O53" s="1394"/>
      <c r="P53" s="974">
        <v>10</v>
      </c>
      <c r="Q53" s="976">
        <v>0.1</v>
      </c>
      <c r="R53" s="975">
        <v>9.9999999999999995E-7</v>
      </c>
      <c r="S53" s="983"/>
      <c r="T53" s="977">
        <f>0.5*(MAX(Q53:S53)-MIN(Q53:S53))</f>
        <v>4.9999500000000002E-2</v>
      </c>
      <c r="U53" s="974">
        <f>(1.7/100)*P53</f>
        <v>0.17</v>
      </c>
    </row>
    <row r="54" spans="1:22" x14ac:dyDescent="0.2">
      <c r="A54" s="1392"/>
      <c r="B54" s="974">
        <v>20</v>
      </c>
      <c r="C54" s="976">
        <v>0.1</v>
      </c>
      <c r="D54" s="976">
        <v>0.2</v>
      </c>
      <c r="E54" s="983"/>
      <c r="F54" s="977">
        <f t="shared" ref="F54:F56" si="21">0.5*(MAX(C54:E54)-MIN(C54:E54))</f>
        <v>0.05</v>
      </c>
      <c r="G54" s="974">
        <f>(1.7/100)*B54</f>
        <v>0.34</v>
      </c>
      <c r="H54" s="1394"/>
      <c r="I54" s="974">
        <v>20</v>
      </c>
      <c r="J54" s="976">
        <v>0.1</v>
      </c>
      <c r="K54" s="976">
        <v>0.1</v>
      </c>
      <c r="L54" s="983"/>
      <c r="M54" s="977">
        <f t="shared" ref="M54:M56" si="22">0.5*(MAX(J54:L54)-MIN(J54:L54))</f>
        <v>0</v>
      </c>
      <c r="N54" s="974">
        <f>(1.7/100)*I54</f>
        <v>0.34</v>
      </c>
      <c r="O54" s="1394"/>
      <c r="P54" s="974">
        <v>20</v>
      </c>
      <c r="Q54" s="976">
        <v>0.1</v>
      </c>
      <c r="R54" s="975">
        <v>9.9999999999999995E-7</v>
      </c>
      <c r="S54" s="983"/>
      <c r="T54" s="977">
        <f t="shared" ref="T54:T56" si="23">0.5*(MAX(Q54:S54)-MIN(Q54:S54))</f>
        <v>4.9999500000000002E-2</v>
      </c>
      <c r="U54" s="974">
        <f>(1.7/100)*P54</f>
        <v>0.34</v>
      </c>
    </row>
    <row r="55" spans="1:22" x14ac:dyDescent="0.2">
      <c r="A55" s="1392"/>
      <c r="B55" s="974">
        <v>50</v>
      </c>
      <c r="C55" s="976">
        <v>0.4</v>
      </c>
      <c r="D55" s="976">
        <v>0.5</v>
      </c>
      <c r="E55" s="983"/>
      <c r="F55" s="977">
        <f t="shared" si="21"/>
        <v>4.9999999999999989E-2</v>
      </c>
      <c r="G55" s="974">
        <f>(1.7/100)*B55</f>
        <v>0.85000000000000009</v>
      </c>
      <c r="H55" s="1394"/>
      <c r="I55" s="974">
        <v>50</v>
      </c>
      <c r="J55" s="976">
        <v>0.6</v>
      </c>
      <c r="K55" s="976">
        <v>0.4</v>
      </c>
      <c r="L55" s="983"/>
      <c r="M55" s="977">
        <f t="shared" si="22"/>
        <v>9.9999999999999978E-2</v>
      </c>
      <c r="N55" s="974">
        <f>(1.7/100)*I55</f>
        <v>0.85000000000000009</v>
      </c>
      <c r="O55" s="1394"/>
      <c r="P55" s="974">
        <v>50</v>
      </c>
      <c r="Q55" s="976">
        <v>0.3</v>
      </c>
      <c r="R55" s="975">
        <v>0.2</v>
      </c>
      <c r="S55" s="983"/>
      <c r="T55" s="977">
        <f t="shared" si="23"/>
        <v>4.9999999999999989E-2</v>
      </c>
      <c r="U55" s="974">
        <f>(1.7/100)*P55</f>
        <v>0.85000000000000009</v>
      </c>
    </row>
    <row r="56" spans="1:22" x14ac:dyDescent="0.2">
      <c r="A56" s="1392"/>
      <c r="B56" s="974">
        <v>100</v>
      </c>
      <c r="C56" s="976">
        <v>1.4</v>
      </c>
      <c r="D56" s="976">
        <v>1</v>
      </c>
      <c r="E56" s="983"/>
      <c r="F56" s="977">
        <f t="shared" si="21"/>
        <v>0.19999999999999996</v>
      </c>
      <c r="G56" s="974">
        <f>(1.7/100)*B56</f>
        <v>1.7000000000000002</v>
      </c>
      <c r="H56" s="1394"/>
      <c r="I56" s="974">
        <v>100</v>
      </c>
      <c r="J56" s="976">
        <v>1.5</v>
      </c>
      <c r="K56" s="976">
        <v>0.8</v>
      </c>
      <c r="L56" s="983"/>
      <c r="M56" s="977">
        <f t="shared" si="22"/>
        <v>0.35</v>
      </c>
      <c r="N56" s="974">
        <f>(1.7/100)*I56</f>
        <v>1.7000000000000002</v>
      </c>
      <c r="O56" s="1394"/>
      <c r="P56" s="974">
        <v>100</v>
      </c>
      <c r="Q56" s="976">
        <v>0.6</v>
      </c>
      <c r="R56" s="975">
        <v>0.7</v>
      </c>
      <c r="S56" s="983"/>
      <c r="T56" s="977">
        <f t="shared" si="23"/>
        <v>4.9999999999999989E-2</v>
      </c>
      <c r="U56" s="974">
        <f>(1.7/100)*P56</f>
        <v>1.7000000000000002</v>
      </c>
    </row>
    <row r="57" spans="1:22" ht="12.75" customHeight="1" x14ac:dyDescent="0.2">
      <c r="A57" s="1392"/>
      <c r="B57" s="1391" t="str">
        <f>B26</f>
        <v>Resistance</v>
      </c>
      <c r="C57" s="1391"/>
      <c r="D57" s="1391"/>
      <c r="E57" s="1391"/>
      <c r="F57" s="1384" t="s">
        <v>352</v>
      </c>
      <c r="G57" s="1384" t="s">
        <v>284</v>
      </c>
      <c r="H57" s="1394"/>
      <c r="I57" s="1391" t="str">
        <f>B57</f>
        <v>Resistance</v>
      </c>
      <c r="J57" s="1391"/>
      <c r="K57" s="1391"/>
      <c r="L57" s="1391"/>
      <c r="M57" s="1384" t="s">
        <v>352</v>
      </c>
      <c r="N57" s="1384" t="s">
        <v>284</v>
      </c>
      <c r="O57" s="1394"/>
      <c r="P57" s="1391" t="str">
        <f>I57</f>
        <v>Resistance</v>
      </c>
      <c r="Q57" s="1391"/>
      <c r="R57" s="1391"/>
      <c r="S57" s="1391"/>
      <c r="T57" s="1384" t="s">
        <v>352</v>
      </c>
      <c r="U57" s="1384" t="s">
        <v>284</v>
      </c>
    </row>
    <row r="58" spans="1:22" ht="15" x14ac:dyDescent="0.2">
      <c r="A58" s="1392"/>
      <c r="B58" s="968" t="s">
        <v>565</v>
      </c>
      <c r="C58" s="970">
        <f>C36</f>
        <v>2021</v>
      </c>
      <c r="D58" s="970">
        <f>D36</f>
        <v>2019</v>
      </c>
      <c r="E58" s="970" t="str">
        <f>E36</f>
        <v>-</v>
      </c>
      <c r="F58" s="1384"/>
      <c r="G58" s="1384"/>
      <c r="H58" s="1394"/>
      <c r="I58" s="968" t="s">
        <v>565</v>
      </c>
      <c r="J58" s="970">
        <f>J36</f>
        <v>2021</v>
      </c>
      <c r="K58" s="970">
        <f>K36</f>
        <v>2019</v>
      </c>
      <c r="L58" s="970" t="str">
        <f>L36</f>
        <v>-</v>
      </c>
      <c r="M58" s="1384"/>
      <c r="N58" s="1384"/>
      <c r="O58" s="1394"/>
      <c r="P58" s="968" t="s">
        <v>565</v>
      </c>
      <c r="Q58" s="970">
        <f>Q36</f>
        <v>2019</v>
      </c>
      <c r="R58" s="970">
        <f>R36</f>
        <v>2018</v>
      </c>
      <c r="S58" s="970" t="str">
        <f>S36</f>
        <v>-</v>
      </c>
      <c r="T58" s="1384"/>
      <c r="U58" s="1384"/>
    </row>
    <row r="59" spans="1:22" x14ac:dyDescent="0.2">
      <c r="A59" s="1392"/>
      <c r="B59" s="974">
        <v>0.01</v>
      </c>
      <c r="C59" s="976">
        <v>9.9999999999999995E-7</v>
      </c>
      <c r="D59" s="976">
        <v>9.9999999999999995E-7</v>
      </c>
      <c r="E59" s="983"/>
      <c r="F59" s="977">
        <f>0.5*(MAX(C59:E59)-MIN(C59:E59))</f>
        <v>0</v>
      </c>
      <c r="G59" s="974">
        <f>(0/100)*B59</f>
        <v>0</v>
      </c>
      <c r="H59" s="1394"/>
      <c r="I59" s="974">
        <v>0.01</v>
      </c>
      <c r="J59" s="976">
        <v>9.9999999999999995E-7</v>
      </c>
      <c r="K59" s="976">
        <v>9.9999999999999995E-7</v>
      </c>
      <c r="L59" s="983"/>
      <c r="M59" s="977">
        <f>0.5*(MAX(J59:L59)-MIN(J59:L59))</f>
        <v>0</v>
      </c>
      <c r="N59" s="974">
        <f>(1.2/100)*I59</f>
        <v>1.2E-4</v>
      </c>
      <c r="O59" s="1394"/>
      <c r="P59" s="974">
        <v>0.01</v>
      </c>
      <c r="Q59" s="976">
        <v>9.9999999999999995E-7</v>
      </c>
      <c r="R59" s="975">
        <v>9.9999999999999995E-7</v>
      </c>
      <c r="S59" s="983"/>
      <c r="T59" s="977">
        <f>0.5*(MAX(Q59:S59)-MIN(Q59:S59))</f>
        <v>0</v>
      </c>
      <c r="U59" s="974">
        <f>(1.2/100)*P59</f>
        <v>1.2E-4</v>
      </c>
    </row>
    <row r="60" spans="1:22" x14ac:dyDescent="0.2">
      <c r="A60" s="1392"/>
      <c r="B60" s="974">
        <v>0.1</v>
      </c>
      <c r="C60" s="976">
        <v>-2E-3</v>
      </c>
      <c r="D60" s="976">
        <v>9.9999999999999995E-7</v>
      </c>
      <c r="E60" s="983"/>
      <c r="F60" s="977">
        <f t="shared" ref="F60:F62" si="24">0.5*(MAX(C60:E60)-MIN(C60:E60))</f>
        <v>1.0005000000000001E-3</v>
      </c>
      <c r="G60" s="974">
        <f>(1.2/100)*B60</f>
        <v>1.2000000000000001E-3</v>
      </c>
      <c r="H60" s="1394"/>
      <c r="I60" s="974">
        <v>0.1</v>
      </c>
      <c r="J60" s="976">
        <v>5.0000000000000001E-3</v>
      </c>
      <c r="K60" s="976">
        <v>2E-3</v>
      </c>
      <c r="L60" s="983"/>
      <c r="M60" s="977">
        <f t="shared" ref="M60:M62" si="25">0.5*(MAX(J60:L60)-MIN(J60:L60))</f>
        <v>1.5E-3</v>
      </c>
      <c r="N60" s="974">
        <f>(1.2/100)*I60</f>
        <v>1.2000000000000001E-3</v>
      </c>
      <c r="O60" s="1394"/>
      <c r="P60" s="974">
        <v>0.1</v>
      </c>
      <c r="Q60" s="976">
        <v>-2E-3</v>
      </c>
      <c r="R60" s="975">
        <v>6.0000000000000001E-3</v>
      </c>
      <c r="S60" s="983"/>
      <c r="T60" s="977">
        <f t="shared" ref="T60:T62" si="26">0.5*(MAX(Q60:S60)-MIN(Q60:S60))</f>
        <v>4.0000000000000001E-3</v>
      </c>
      <c r="U60" s="974">
        <f>(1.2/100)*P60</f>
        <v>1.2000000000000001E-3</v>
      </c>
    </row>
    <row r="61" spans="1:22" x14ac:dyDescent="0.2">
      <c r="A61" s="1392"/>
      <c r="B61" s="974">
        <v>1</v>
      </c>
      <c r="C61" s="976">
        <v>-8.0000000000000002E-3</v>
      </c>
      <c r="D61" s="976">
        <v>-1E-3</v>
      </c>
      <c r="E61" s="983"/>
      <c r="F61" s="977">
        <f t="shared" si="24"/>
        <v>3.5000000000000001E-3</v>
      </c>
      <c r="G61" s="974">
        <f>(1.2/100)*B61</f>
        <v>1.2E-2</v>
      </c>
      <c r="H61" s="1394"/>
      <c r="I61" s="974">
        <v>1</v>
      </c>
      <c r="J61" s="976">
        <v>1.7999999999999999E-2</v>
      </c>
      <c r="K61" s="976">
        <v>1.2E-2</v>
      </c>
      <c r="L61" s="983"/>
      <c r="M61" s="977">
        <f t="shared" si="25"/>
        <v>2.9999999999999992E-3</v>
      </c>
      <c r="N61" s="974">
        <f>(1.2/100)*I61</f>
        <v>1.2E-2</v>
      </c>
      <c r="O61" s="1394"/>
      <c r="P61" s="974">
        <v>1</v>
      </c>
      <c r="Q61" s="976">
        <v>-1E-3</v>
      </c>
      <c r="R61" s="975">
        <v>8.0000000000000002E-3</v>
      </c>
      <c r="S61" s="983"/>
      <c r="T61" s="977">
        <f t="shared" si="26"/>
        <v>4.5000000000000005E-3</v>
      </c>
      <c r="U61" s="974">
        <f>(1.2/100)*P61</f>
        <v>1.2E-2</v>
      </c>
    </row>
    <row r="62" spans="1:22" x14ac:dyDescent="0.2">
      <c r="A62" s="1392"/>
      <c r="B62" s="974">
        <v>2</v>
      </c>
      <c r="C62" s="976">
        <v>-7.0000000000000001E-3</v>
      </c>
      <c r="D62" s="976">
        <v>9.9999999999999995E-7</v>
      </c>
      <c r="E62" s="983"/>
      <c r="F62" s="977">
        <f t="shared" si="24"/>
        <v>3.5005000000000001E-3</v>
      </c>
      <c r="G62" s="974">
        <f>(1.2/100)*B62</f>
        <v>2.4E-2</v>
      </c>
      <c r="H62" s="1394"/>
      <c r="I62" s="984">
        <v>2</v>
      </c>
      <c r="J62" s="986">
        <v>0.113</v>
      </c>
      <c r="K62" s="986">
        <v>9.9999999999999995E-7</v>
      </c>
      <c r="L62" s="983"/>
      <c r="M62" s="987">
        <f t="shared" si="25"/>
        <v>5.6499500000000001E-2</v>
      </c>
      <c r="N62" s="984">
        <f>(1.2/100)*I62</f>
        <v>2.4E-2</v>
      </c>
      <c r="O62" s="1394"/>
      <c r="P62" s="974">
        <v>2</v>
      </c>
      <c r="Q62" s="976">
        <v>9.9999999999999995E-7</v>
      </c>
      <c r="R62" s="975">
        <v>9.9999999999999995E-7</v>
      </c>
      <c r="S62" s="983"/>
      <c r="T62" s="977">
        <f t="shared" si="26"/>
        <v>0</v>
      </c>
      <c r="U62" s="974">
        <f>(0/100)*P62</f>
        <v>0</v>
      </c>
    </row>
    <row r="63" spans="1:22" ht="15.75" x14ac:dyDescent="0.2">
      <c r="A63" s="988"/>
      <c r="B63" s="989"/>
      <c r="C63" s="989"/>
      <c r="D63" s="990"/>
      <c r="E63" s="990"/>
      <c r="F63" s="990"/>
      <c r="H63" s="991"/>
      <c r="I63" s="992"/>
      <c r="J63" s="989"/>
      <c r="K63" s="990"/>
      <c r="L63" s="990"/>
      <c r="M63" s="990"/>
      <c r="O63" s="991"/>
      <c r="P63" s="989"/>
      <c r="Q63" s="989"/>
      <c r="T63" s="982"/>
    </row>
    <row r="64" spans="1:22" ht="14.65" customHeight="1" x14ac:dyDescent="0.2">
      <c r="A64" s="1392" t="s">
        <v>137</v>
      </c>
      <c r="B64" s="1393" t="s">
        <v>362</v>
      </c>
      <c r="C64" s="1393"/>
      <c r="D64" s="1393"/>
      <c r="E64" s="1393"/>
      <c r="F64" s="1393"/>
      <c r="G64" s="1393"/>
      <c r="H64" s="1394" t="s">
        <v>363</v>
      </c>
      <c r="I64" s="1393" t="s">
        <v>364</v>
      </c>
      <c r="J64" s="1393"/>
      <c r="K64" s="1393"/>
      <c r="L64" s="1393"/>
      <c r="M64" s="1393"/>
      <c r="N64" s="1393"/>
      <c r="O64" s="1398" t="s">
        <v>51</v>
      </c>
      <c r="P64" s="1393" t="s">
        <v>365</v>
      </c>
      <c r="Q64" s="1393"/>
      <c r="R64" s="1393"/>
      <c r="S64" s="1393"/>
      <c r="T64" s="1393"/>
      <c r="U64" s="1393"/>
    </row>
    <row r="65" spans="1:21" ht="15" x14ac:dyDescent="0.25">
      <c r="A65" s="1392"/>
      <c r="B65" s="1396" t="s">
        <v>350</v>
      </c>
      <c r="C65" s="1396"/>
      <c r="D65" s="1396"/>
      <c r="E65" s="1396"/>
      <c r="F65" s="1396"/>
      <c r="G65" s="1396"/>
      <c r="H65" s="1394"/>
      <c r="I65" s="1397" t="s">
        <v>350</v>
      </c>
      <c r="J65" s="1397"/>
      <c r="K65" s="1397"/>
      <c r="L65" s="1397"/>
      <c r="M65" s="1397"/>
      <c r="N65" s="1397"/>
      <c r="O65" s="1398"/>
      <c r="P65" s="1397" t="s">
        <v>350</v>
      </c>
      <c r="Q65" s="1397"/>
      <c r="R65" s="1397"/>
      <c r="S65" s="1397"/>
      <c r="T65" s="1397"/>
      <c r="U65" s="1397"/>
    </row>
    <row r="66" spans="1:21" x14ac:dyDescent="0.2">
      <c r="A66" s="1392"/>
      <c r="B66" s="1384" t="s">
        <v>351</v>
      </c>
      <c r="C66" s="1384"/>
      <c r="D66" s="1384"/>
      <c r="E66" s="1384"/>
      <c r="F66" s="1384" t="s">
        <v>352</v>
      </c>
      <c r="G66" s="1384" t="s">
        <v>284</v>
      </c>
      <c r="H66" s="1394"/>
      <c r="I66" s="1384" t="str">
        <f>B66</f>
        <v>Setting VAC</v>
      </c>
      <c r="J66" s="1384"/>
      <c r="K66" s="1384"/>
      <c r="L66" s="1384"/>
      <c r="M66" s="1384" t="s">
        <v>352</v>
      </c>
      <c r="N66" s="1384" t="s">
        <v>284</v>
      </c>
      <c r="O66" s="1398"/>
      <c r="P66" s="1384" t="str">
        <f>B66</f>
        <v>Setting VAC</v>
      </c>
      <c r="Q66" s="1384"/>
      <c r="R66" s="1384"/>
      <c r="S66" s="1384"/>
      <c r="T66" s="1384" t="s">
        <v>352</v>
      </c>
      <c r="U66" s="1384" t="s">
        <v>284</v>
      </c>
    </row>
    <row r="67" spans="1:21" ht="15" x14ac:dyDescent="0.2">
      <c r="A67" s="1392"/>
      <c r="B67" s="968" t="s">
        <v>353</v>
      </c>
      <c r="C67" s="970">
        <v>2020</v>
      </c>
      <c r="D67" s="970">
        <v>2018</v>
      </c>
      <c r="E67" s="971" t="s">
        <v>291</v>
      </c>
      <c r="F67" s="1384"/>
      <c r="G67" s="1384"/>
      <c r="H67" s="1394"/>
      <c r="I67" s="968" t="s">
        <v>353</v>
      </c>
      <c r="J67" s="970">
        <v>2022</v>
      </c>
      <c r="K67" s="970">
        <v>2020</v>
      </c>
      <c r="L67" s="971" t="s">
        <v>291</v>
      </c>
      <c r="M67" s="1384"/>
      <c r="N67" s="1384"/>
      <c r="O67" s="1398"/>
      <c r="P67" s="968" t="s">
        <v>353</v>
      </c>
      <c r="Q67" s="970">
        <v>2020</v>
      </c>
      <c r="R67" s="971" t="s">
        <v>291</v>
      </c>
      <c r="S67" s="971" t="s">
        <v>291</v>
      </c>
      <c r="T67" s="1384"/>
      <c r="U67" s="1384"/>
    </row>
    <row r="68" spans="1:21" x14ac:dyDescent="0.2">
      <c r="A68" s="1392"/>
      <c r="B68" s="974">
        <v>150.21</v>
      </c>
      <c r="C68" s="975">
        <v>0.21</v>
      </c>
      <c r="D68" s="975">
        <v>0.27</v>
      </c>
      <c r="E68" s="983"/>
      <c r="F68" s="977">
        <f>0.5*(MAX(C68:E68)-MIN(C68:E68))</f>
        <v>3.0000000000000013E-2</v>
      </c>
      <c r="G68" s="974">
        <f t="shared" ref="G68:G73" si="27">(1.2/100)*B68</f>
        <v>1.8025200000000001</v>
      </c>
      <c r="H68" s="1394"/>
      <c r="I68" s="974">
        <v>150</v>
      </c>
      <c r="J68" s="993">
        <v>-0.17</v>
      </c>
      <c r="K68" s="993">
        <v>-0.24</v>
      </c>
      <c r="L68" s="983"/>
      <c r="M68" s="977">
        <f>0.5*(MAX(J68:L68)-MIN(J68:L68))</f>
        <v>3.4999999999999989E-2</v>
      </c>
      <c r="N68" s="974">
        <f t="shared" ref="N68:N73" si="28">(1.2/100)*I68</f>
        <v>1.8</v>
      </c>
      <c r="O68" s="1398"/>
      <c r="P68" s="974">
        <v>149.83000000000001</v>
      </c>
      <c r="Q68" s="993">
        <v>-0.17</v>
      </c>
      <c r="R68" s="994" t="s">
        <v>291</v>
      </c>
      <c r="S68" s="983"/>
      <c r="T68" s="977">
        <f>0.5*(MAX(Q68:S68)-MIN(Q68:S68))</f>
        <v>0</v>
      </c>
      <c r="U68" s="974">
        <f t="shared" ref="U68:U73" si="29">(1.2/100)*P68</f>
        <v>1.7979600000000002</v>
      </c>
    </row>
    <row r="69" spans="1:21" x14ac:dyDescent="0.2">
      <c r="A69" s="1392"/>
      <c r="B69" s="974">
        <v>180.33</v>
      </c>
      <c r="C69" s="975">
        <v>0.33</v>
      </c>
      <c r="D69" s="975">
        <v>0.37</v>
      </c>
      <c r="E69" s="983"/>
      <c r="F69" s="977">
        <f t="shared" ref="F69:F73" si="30">0.5*(MAX(C69:E69)-MIN(C69:E69))</f>
        <v>1.999999999999999E-2</v>
      </c>
      <c r="G69" s="974">
        <f t="shared" si="27"/>
        <v>2.1639600000000003</v>
      </c>
      <c r="H69" s="1394"/>
      <c r="I69" s="974">
        <v>180</v>
      </c>
      <c r="J69" s="993">
        <v>-0.39</v>
      </c>
      <c r="K69" s="993">
        <v>-0.14000000000000001</v>
      </c>
      <c r="L69" s="983"/>
      <c r="M69" s="977">
        <f t="shared" ref="M69:M73" si="31">0.5*(MAX(J69:L69)-MIN(J69:L69))</f>
        <v>0.125</v>
      </c>
      <c r="N69" s="974">
        <f t="shared" si="28"/>
        <v>2.16</v>
      </c>
      <c r="O69" s="1398"/>
      <c r="P69" s="974">
        <v>179.78</v>
      </c>
      <c r="Q69" s="993">
        <v>-0.22</v>
      </c>
      <c r="R69" s="976" t="s">
        <v>291</v>
      </c>
      <c r="S69" s="983"/>
      <c r="T69" s="977">
        <f t="shared" ref="T69:T73" si="32">0.5*(MAX(Q69:S69)-MIN(Q69:S69))</f>
        <v>0</v>
      </c>
      <c r="U69" s="974">
        <f t="shared" si="29"/>
        <v>2.1573600000000002</v>
      </c>
    </row>
    <row r="70" spans="1:21" x14ac:dyDescent="0.2">
      <c r="A70" s="1392"/>
      <c r="B70" s="974">
        <v>200.35</v>
      </c>
      <c r="C70" s="975">
        <v>0.34</v>
      </c>
      <c r="D70" s="975">
        <v>0.4</v>
      </c>
      <c r="E70" s="983"/>
      <c r="F70" s="977">
        <f t="shared" si="30"/>
        <v>0.03</v>
      </c>
      <c r="G70" s="974">
        <f t="shared" si="27"/>
        <v>2.4041999999999999</v>
      </c>
      <c r="H70" s="1394"/>
      <c r="I70" s="974">
        <v>200</v>
      </c>
      <c r="J70" s="975">
        <v>-0.23</v>
      </c>
      <c r="K70" s="975">
        <v>-0.33</v>
      </c>
      <c r="L70" s="983"/>
      <c r="M70" s="977">
        <f t="shared" si="31"/>
        <v>0.05</v>
      </c>
      <c r="N70" s="974">
        <f t="shared" si="28"/>
        <v>2.4</v>
      </c>
      <c r="O70" s="1398"/>
      <c r="P70" s="974">
        <v>199.67</v>
      </c>
      <c r="Q70" s="975">
        <v>-0.33</v>
      </c>
      <c r="R70" s="976" t="s">
        <v>291</v>
      </c>
      <c r="S70" s="983"/>
      <c r="T70" s="977">
        <f t="shared" si="32"/>
        <v>0</v>
      </c>
      <c r="U70" s="974">
        <f t="shared" si="29"/>
        <v>2.3960399999999997</v>
      </c>
    </row>
    <row r="71" spans="1:21" x14ac:dyDescent="0.2">
      <c r="A71" s="1392"/>
      <c r="B71" s="974">
        <v>220.37</v>
      </c>
      <c r="C71" s="975">
        <v>0.37</v>
      </c>
      <c r="D71" s="975">
        <v>0.38</v>
      </c>
      <c r="E71" s="983"/>
      <c r="F71" s="977">
        <f t="shared" si="30"/>
        <v>5.0000000000000044E-3</v>
      </c>
      <c r="G71" s="974">
        <f t="shared" si="27"/>
        <v>2.6444399999999999</v>
      </c>
      <c r="H71" s="1394"/>
      <c r="I71" s="974">
        <v>220</v>
      </c>
      <c r="J71" s="975">
        <v>-0.16</v>
      </c>
      <c r="K71" s="975">
        <v>-0.45</v>
      </c>
      <c r="L71" s="983"/>
      <c r="M71" s="977">
        <f t="shared" si="31"/>
        <v>0.14500000000000002</v>
      </c>
      <c r="N71" s="974">
        <f t="shared" si="28"/>
        <v>2.64</v>
      </c>
      <c r="O71" s="1398"/>
      <c r="P71" s="974">
        <v>219.61</v>
      </c>
      <c r="Q71" s="975">
        <v>-0.39</v>
      </c>
      <c r="R71" s="976" t="s">
        <v>291</v>
      </c>
      <c r="S71" s="983"/>
      <c r="T71" s="977">
        <f t="shared" si="32"/>
        <v>0</v>
      </c>
      <c r="U71" s="974">
        <f t="shared" si="29"/>
        <v>2.6353200000000001</v>
      </c>
    </row>
    <row r="72" spans="1:21" x14ac:dyDescent="0.2">
      <c r="A72" s="1392"/>
      <c r="B72" s="974">
        <v>230.47</v>
      </c>
      <c r="C72" s="975">
        <v>0.47</v>
      </c>
      <c r="D72" s="975">
        <v>0.4</v>
      </c>
      <c r="E72" s="983"/>
      <c r="F72" s="977">
        <f t="shared" si="30"/>
        <v>3.4999999999999976E-2</v>
      </c>
      <c r="G72" s="974">
        <f t="shared" si="27"/>
        <v>2.7656399999999999</v>
      </c>
      <c r="H72" s="1394"/>
      <c r="I72" s="974">
        <v>230</v>
      </c>
      <c r="J72" s="975">
        <v>-0.15</v>
      </c>
      <c r="K72" s="975">
        <v>-0.54</v>
      </c>
      <c r="L72" s="983"/>
      <c r="M72" s="977">
        <f t="shared" si="31"/>
        <v>0.19500000000000001</v>
      </c>
      <c r="N72" s="974">
        <f t="shared" si="28"/>
        <v>2.7600000000000002</v>
      </c>
      <c r="O72" s="1398"/>
      <c r="P72" s="974">
        <v>229.61</v>
      </c>
      <c r="Q72" s="975">
        <v>-0.39</v>
      </c>
      <c r="R72" s="976" t="s">
        <v>291</v>
      </c>
      <c r="S72" s="983"/>
      <c r="T72" s="977">
        <f t="shared" si="32"/>
        <v>0</v>
      </c>
      <c r="U72" s="974">
        <f t="shared" si="29"/>
        <v>2.7553200000000002</v>
      </c>
    </row>
    <row r="73" spans="1:21" x14ac:dyDescent="0.2">
      <c r="A73" s="1392"/>
      <c r="B73" s="974">
        <v>240.38</v>
      </c>
      <c r="C73" s="975">
        <v>0.38</v>
      </c>
      <c r="D73" s="975">
        <v>9.9999999999999995E-7</v>
      </c>
      <c r="E73" s="983"/>
      <c r="F73" s="977">
        <f t="shared" si="30"/>
        <v>0.18999950000000002</v>
      </c>
      <c r="G73" s="974">
        <f t="shared" si="27"/>
        <v>2.88456</v>
      </c>
      <c r="H73" s="1394"/>
      <c r="I73" s="974">
        <v>250</v>
      </c>
      <c r="J73" s="975">
        <v>9.9999999999999995E-7</v>
      </c>
      <c r="K73" s="975">
        <v>-0.49</v>
      </c>
      <c r="L73" s="983"/>
      <c r="M73" s="977">
        <f t="shared" si="31"/>
        <v>0.24500049999999998</v>
      </c>
      <c r="N73" s="974">
        <f t="shared" si="28"/>
        <v>3</v>
      </c>
      <c r="O73" s="1398"/>
      <c r="P73" s="974">
        <v>239.61</v>
      </c>
      <c r="Q73" s="975">
        <v>-0.39</v>
      </c>
      <c r="R73" s="976" t="s">
        <v>291</v>
      </c>
      <c r="S73" s="983"/>
      <c r="T73" s="977">
        <f t="shared" si="32"/>
        <v>0</v>
      </c>
      <c r="U73" s="974">
        <f t="shared" si="29"/>
        <v>2.8753200000000003</v>
      </c>
    </row>
    <row r="74" spans="1:21" ht="12.75" customHeight="1" x14ac:dyDescent="0.2">
      <c r="A74" s="1392"/>
      <c r="B74" s="1391" t="s">
        <v>354</v>
      </c>
      <c r="C74" s="1391"/>
      <c r="D74" s="1391"/>
      <c r="E74" s="1391"/>
      <c r="F74" s="1384" t="s">
        <v>352</v>
      </c>
      <c r="G74" s="1384" t="s">
        <v>284</v>
      </c>
      <c r="H74" s="1394"/>
      <c r="I74" s="1391" t="str">
        <f>B74</f>
        <v>Current Leakage</v>
      </c>
      <c r="J74" s="1391"/>
      <c r="K74" s="1391"/>
      <c r="L74" s="1391"/>
      <c r="M74" s="1384" t="s">
        <v>352</v>
      </c>
      <c r="N74" s="1384" t="s">
        <v>284</v>
      </c>
      <c r="O74" s="1398"/>
      <c r="P74" s="1391" t="str">
        <f>B74</f>
        <v>Current Leakage</v>
      </c>
      <c r="Q74" s="1391"/>
      <c r="R74" s="1391"/>
      <c r="S74" s="1391"/>
      <c r="T74" s="1384" t="s">
        <v>352</v>
      </c>
      <c r="U74" s="1384" t="s">
        <v>284</v>
      </c>
    </row>
    <row r="75" spans="1:21" ht="15" x14ac:dyDescent="0.2">
      <c r="A75" s="1392"/>
      <c r="B75" s="968" t="s">
        <v>355</v>
      </c>
      <c r="C75" s="970">
        <f>C67</f>
        <v>2020</v>
      </c>
      <c r="D75" s="970">
        <f>D67</f>
        <v>2018</v>
      </c>
      <c r="E75" s="970" t="str">
        <f>E67</f>
        <v>-</v>
      </c>
      <c r="F75" s="1384"/>
      <c r="G75" s="1384"/>
      <c r="H75" s="1394"/>
      <c r="I75" s="968" t="s">
        <v>355</v>
      </c>
      <c r="J75" s="970">
        <f>J67</f>
        <v>2022</v>
      </c>
      <c r="K75" s="970">
        <f>K67</f>
        <v>2020</v>
      </c>
      <c r="L75" s="970" t="str">
        <f>L67</f>
        <v>-</v>
      </c>
      <c r="M75" s="1384"/>
      <c r="N75" s="1384"/>
      <c r="O75" s="1398"/>
      <c r="P75" s="968" t="s">
        <v>355</v>
      </c>
      <c r="Q75" s="970">
        <f>Q67</f>
        <v>2020</v>
      </c>
      <c r="R75" s="970" t="str">
        <f>R67</f>
        <v>-</v>
      </c>
      <c r="S75" s="970" t="str">
        <f>S67</f>
        <v>-</v>
      </c>
      <c r="T75" s="1384"/>
      <c r="U75" s="1384"/>
    </row>
    <row r="76" spans="1:21" x14ac:dyDescent="0.2">
      <c r="A76" s="1392"/>
      <c r="B76" s="974">
        <v>0</v>
      </c>
      <c r="C76" s="975">
        <v>9.9999999999999995E-7</v>
      </c>
      <c r="D76" s="975">
        <v>9.9999999999999995E-7</v>
      </c>
      <c r="E76" s="983"/>
      <c r="F76" s="977">
        <f>0.5*(MAX(C76:E76)-MIN(C76:E76))</f>
        <v>0</v>
      </c>
      <c r="G76" s="974">
        <v>0.3</v>
      </c>
      <c r="H76" s="1394"/>
      <c r="I76" s="974">
        <v>0</v>
      </c>
      <c r="J76" s="975">
        <v>9.9999999999999995E-7</v>
      </c>
      <c r="K76" s="975">
        <v>9.9999999999999995E-7</v>
      </c>
      <c r="L76" s="983"/>
      <c r="M76" s="977">
        <f>0.5*(MAX(J76:L76)-MIN(J76:L76))</f>
        <v>0</v>
      </c>
      <c r="N76" s="974">
        <f t="shared" ref="N76:N81" si="33">(0.59/100)*I76</f>
        <v>0</v>
      </c>
      <c r="O76" s="1398"/>
      <c r="P76" s="974">
        <v>0</v>
      </c>
      <c r="Q76" s="975">
        <v>9.9999999999999995E-7</v>
      </c>
      <c r="R76" s="994" t="s">
        <v>291</v>
      </c>
      <c r="S76" s="983"/>
      <c r="T76" s="977">
        <f>0.5*(MAX(Q76:S76)-MIN(Q76:S76))</f>
        <v>0</v>
      </c>
      <c r="U76" s="974">
        <v>0.12</v>
      </c>
    </row>
    <row r="77" spans="1:21" x14ac:dyDescent="0.2">
      <c r="A77" s="1392"/>
      <c r="B77" s="974">
        <v>50</v>
      </c>
      <c r="C77" s="975">
        <v>1.7</v>
      </c>
      <c r="D77" s="975">
        <v>2.1</v>
      </c>
      <c r="E77" s="983"/>
      <c r="F77" s="977">
        <f t="shared" ref="F77:F81" si="34">0.5*(MAX(C77:E77)-MIN(C77:E77))</f>
        <v>0.20000000000000007</v>
      </c>
      <c r="G77" s="974">
        <f>(0.59/100)*B77</f>
        <v>0.29499999999999998</v>
      </c>
      <c r="H77" s="1394"/>
      <c r="I77" s="974">
        <v>20</v>
      </c>
      <c r="J77" s="975">
        <v>6.6</v>
      </c>
      <c r="K77" s="975">
        <v>0.9</v>
      </c>
      <c r="L77" s="983"/>
      <c r="M77" s="977">
        <f t="shared" ref="M77:M81" si="35">0.5*(MAX(J77:L77)-MIN(J77:L77))</f>
        <v>2.8499999999999996</v>
      </c>
      <c r="N77" s="974">
        <f t="shared" si="33"/>
        <v>0.11799999999999999</v>
      </c>
      <c r="O77" s="1398"/>
      <c r="P77" s="974">
        <v>20.8</v>
      </c>
      <c r="Q77" s="975">
        <v>0.8</v>
      </c>
      <c r="R77" s="976" t="s">
        <v>291</v>
      </c>
      <c r="S77" s="983"/>
      <c r="T77" s="977">
        <f t="shared" ref="T77:T81" si="36">0.5*(MAX(Q77:S77)-MIN(Q77:S77))</f>
        <v>0</v>
      </c>
      <c r="U77" s="974">
        <f>(0.59/100)*P77</f>
        <v>0.12272</v>
      </c>
    </row>
    <row r="78" spans="1:21" x14ac:dyDescent="0.2">
      <c r="A78" s="1392"/>
      <c r="B78" s="974">
        <v>100</v>
      </c>
      <c r="C78" s="975">
        <v>1.7</v>
      </c>
      <c r="D78" s="975">
        <v>2.2000000000000002</v>
      </c>
      <c r="E78" s="983"/>
      <c r="F78" s="977">
        <f t="shared" si="34"/>
        <v>0.25000000000000011</v>
      </c>
      <c r="G78" s="974">
        <f>(0.59/100)*B78</f>
        <v>0.59</v>
      </c>
      <c r="H78" s="1394"/>
      <c r="I78" s="974">
        <v>50</v>
      </c>
      <c r="J78" s="975">
        <v>5</v>
      </c>
      <c r="K78" s="975">
        <v>2.1</v>
      </c>
      <c r="L78" s="983"/>
      <c r="M78" s="977">
        <f t="shared" si="35"/>
        <v>1.45</v>
      </c>
      <c r="N78" s="974">
        <f t="shared" si="33"/>
        <v>0.29499999999999998</v>
      </c>
      <c r="O78" s="1398"/>
      <c r="P78" s="974">
        <v>51.7</v>
      </c>
      <c r="Q78" s="975">
        <v>1.7</v>
      </c>
      <c r="R78" s="976" t="s">
        <v>291</v>
      </c>
      <c r="S78" s="983"/>
      <c r="T78" s="977">
        <f t="shared" si="36"/>
        <v>0</v>
      </c>
      <c r="U78" s="974">
        <f>(0.59/100)*P78</f>
        <v>0.30503000000000002</v>
      </c>
    </row>
    <row r="79" spans="1:21" x14ac:dyDescent="0.2">
      <c r="A79" s="1392"/>
      <c r="B79" s="974">
        <v>200.4</v>
      </c>
      <c r="C79" s="975">
        <v>0.4</v>
      </c>
      <c r="D79" s="975">
        <v>2.4</v>
      </c>
      <c r="E79" s="983"/>
      <c r="F79" s="977">
        <f t="shared" si="34"/>
        <v>1</v>
      </c>
      <c r="G79" s="974">
        <f>(0.59/100)*B79</f>
        <v>1.1823600000000001</v>
      </c>
      <c r="H79" s="1394"/>
      <c r="I79" s="974">
        <v>200</v>
      </c>
      <c r="J79" s="975">
        <v>-8.1999999999999993</v>
      </c>
      <c r="K79" s="975">
        <v>3.7</v>
      </c>
      <c r="L79" s="983"/>
      <c r="M79" s="977">
        <f t="shared" si="35"/>
        <v>5.9499999999999993</v>
      </c>
      <c r="N79" s="974">
        <f t="shared" si="33"/>
        <v>1.18</v>
      </c>
      <c r="O79" s="1398"/>
      <c r="P79" s="974">
        <v>103.4</v>
      </c>
      <c r="Q79" s="975">
        <v>3.4</v>
      </c>
      <c r="R79" s="976" t="s">
        <v>291</v>
      </c>
      <c r="S79" s="983"/>
      <c r="T79" s="977">
        <f t="shared" si="36"/>
        <v>0</v>
      </c>
      <c r="U79" s="974">
        <f>(0.59/100)*P79</f>
        <v>0.61006000000000005</v>
      </c>
    </row>
    <row r="80" spans="1:21" x14ac:dyDescent="0.2">
      <c r="A80" s="1392"/>
      <c r="B80" s="974">
        <v>500</v>
      </c>
      <c r="C80" s="975">
        <v>3</v>
      </c>
      <c r="D80" s="975">
        <v>3.3</v>
      </c>
      <c r="E80" s="983"/>
      <c r="F80" s="977">
        <f t="shared" si="34"/>
        <v>0.14999999999999991</v>
      </c>
      <c r="G80" s="974">
        <f>(0.59/100)*B80</f>
        <v>2.9499999999999997</v>
      </c>
      <c r="H80" s="1394"/>
      <c r="I80" s="974">
        <v>500</v>
      </c>
      <c r="J80" s="975">
        <v>-31.8</v>
      </c>
      <c r="K80" s="975">
        <v>8.3000000000000007</v>
      </c>
      <c r="L80" s="983"/>
      <c r="M80" s="977">
        <f t="shared" si="35"/>
        <v>20.05</v>
      </c>
      <c r="N80" s="974">
        <f t="shared" si="33"/>
        <v>2.9499999999999997</v>
      </c>
      <c r="O80" s="1398"/>
      <c r="P80" s="974">
        <v>507.2</v>
      </c>
      <c r="Q80" s="975">
        <v>7.2</v>
      </c>
      <c r="R80" s="976" t="s">
        <v>291</v>
      </c>
      <c r="S80" s="983"/>
      <c r="T80" s="977">
        <f t="shared" si="36"/>
        <v>0</v>
      </c>
      <c r="U80" s="974">
        <f>(0.59/100)*P80</f>
        <v>2.99248</v>
      </c>
    </row>
    <row r="81" spans="1:21" x14ac:dyDescent="0.2">
      <c r="A81" s="1392"/>
      <c r="B81" s="974">
        <v>1000</v>
      </c>
      <c r="C81" s="975">
        <v>9.9999999999999995E-7</v>
      </c>
      <c r="D81" s="975">
        <v>9.9999999999999995E-7</v>
      </c>
      <c r="E81" s="983"/>
      <c r="F81" s="977">
        <f t="shared" si="34"/>
        <v>0</v>
      </c>
      <c r="G81" s="974">
        <v>2.95</v>
      </c>
      <c r="H81" s="1394"/>
      <c r="I81" s="974">
        <v>1000</v>
      </c>
      <c r="J81" s="975">
        <v>-74</v>
      </c>
      <c r="K81" s="975">
        <v>9.9999999999999995E-7</v>
      </c>
      <c r="L81" s="983"/>
      <c r="M81" s="977">
        <f t="shared" si="35"/>
        <v>37.000000499999999</v>
      </c>
      <c r="N81" s="974">
        <f t="shared" si="33"/>
        <v>5.8999999999999995</v>
      </c>
      <c r="O81" s="1398"/>
      <c r="P81" s="974">
        <v>920</v>
      </c>
      <c r="Q81" s="975">
        <v>9.9999999999999995E-7</v>
      </c>
      <c r="R81" s="976" t="s">
        <v>291</v>
      </c>
      <c r="S81" s="983"/>
      <c r="T81" s="977">
        <f t="shared" si="36"/>
        <v>0</v>
      </c>
      <c r="U81" s="974">
        <v>2.99</v>
      </c>
    </row>
    <row r="82" spans="1:21" x14ac:dyDescent="0.2">
      <c r="A82" s="1392"/>
      <c r="B82" s="1391" t="s">
        <v>356</v>
      </c>
      <c r="C82" s="1391"/>
      <c r="D82" s="1391"/>
      <c r="E82" s="1391"/>
      <c r="F82" s="1384" t="s">
        <v>352</v>
      </c>
      <c r="G82" s="1384" t="s">
        <v>284</v>
      </c>
      <c r="H82" s="1394"/>
      <c r="I82" s="1391" t="s">
        <v>356</v>
      </c>
      <c r="J82" s="1391"/>
      <c r="K82" s="1391"/>
      <c r="L82" s="1391"/>
      <c r="M82" s="1384" t="s">
        <v>352</v>
      </c>
      <c r="N82" s="1384" t="s">
        <v>284</v>
      </c>
      <c r="O82" s="1398"/>
      <c r="P82" s="1391" t="str">
        <f>B82</f>
        <v>Main-PE</v>
      </c>
      <c r="Q82" s="1391"/>
      <c r="R82" s="1391"/>
      <c r="S82" s="1391"/>
      <c r="T82" s="1384" t="s">
        <v>352</v>
      </c>
      <c r="U82" s="1384" t="s">
        <v>284</v>
      </c>
    </row>
    <row r="83" spans="1:21" ht="15" x14ac:dyDescent="0.2">
      <c r="A83" s="1392"/>
      <c r="B83" s="968" t="s">
        <v>564</v>
      </c>
      <c r="C83" s="970">
        <f>C67</f>
        <v>2020</v>
      </c>
      <c r="D83" s="970">
        <f>D67</f>
        <v>2018</v>
      </c>
      <c r="E83" s="970" t="str">
        <f>E67</f>
        <v>-</v>
      </c>
      <c r="F83" s="1384"/>
      <c r="G83" s="1384"/>
      <c r="H83" s="1394"/>
      <c r="I83" s="968" t="s">
        <v>564</v>
      </c>
      <c r="J83" s="970">
        <f>J67</f>
        <v>2022</v>
      </c>
      <c r="K83" s="970">
        <f>K67</f>
        <v>2020</v>
      </c>
      <c r="L83" s="970" t="str">
        <f>L67</f>
        <v>-</v>
      </c>
      <c r="M83" s="1384"/>
      <c r="N83" s="1384"/>
      <c r="O83" s="1398"/>
      <c r="P83" s="968" t="s">
        <v>564</v>
      </c>
      <c r="Q83" s="970">
        <f>Q67</f>
        <v>2020</v>
      </c>
      <c r="R83" s="970" t="str">
        <f>R67</f>
        <v>-</v>
      </c>
      <c r="S83" s="970" t="str">
        <f>S67</f>
        <v>-</v>
      </c>
      <c r="T83" s="1384"/>
      <c r="U83" s="1384"/>
    </row>
    <row r="84" spans="1:21" x14ac:dyDescent="0.2">
      <c r="A84" s="1392"/>
      <c r="B84" s="974">
        <v>10</v>
      </c>
      <c r="C84" s="975">
        <v>9.9999999999999995E-7</v>
      </c>
      <c r="D84" s="975">
        <v>9.9999999999999995E-7</v>
      </c>
      <c r="E84" s="983"/>
      <c r="F84" s="977">
        <f>0.5*(MAX(C84:E84)-MIN(C84:E84))</f>
        <v>0</v>
      </c>
      <c r="G84" s="974">
        <f>(1.7/100)*B84</f>
        <v>0.17</v>
      </c>
      <c r="H84" s="1394"/>
      <c r="I84" s="974">
        <v>10</v>
      </c>
      <c r="J84" s="975">
        <v>9.9999999999999995E-7</v>
      </c>
      <c r="K84" s="975">
        <v>9.9999999999999995E-7</v>
      </c>
      <c r="L84" s="983"/>
      <c r="M84" s="977">
        <f>0.5*(MAX(J84:L84)-MIN(J84:L84))</f>
        <v>0</v>
      </c>
      <c r="N84" s="974">
        <f>(1.7/100)*I84</f>
        <v>0.17</v>
      </c>
      <c r="O84" s="1398"/>
      <c r="P84" s="974">
        <v>10</v>
      </c>
      <c r="Q84" s="975">
        <v>9.9999999999999995E-7</v>
      </c>
      <c r="R84" s="976" t="s">
        <v>291</v>
      </c>
      <c r="S84" s="983"/>
      <c r="T84" s="977">
        <f>0.5*(MAX(Q84:S84)-MIN(Q84:S84))</f>
        <v>0</v>
      </c>
      <c r="U84" s="974">
        <v>0</v>
      </c>
    </row>
    <row r="85" spans="1:21" x14ac:dyDescent="0.2">
      <c r="A85" s="1392"/>
      <c r="B85" s="974">
        <v>20</v>
      </c>
      <c r="C85" s="975">
        <v>9.9999999999999995E-7</v>
      </c>
      <c r="D85" s="975">
        <v>0.1</v>
      </c>
      <c r="E85" s="983"/>
      <c r="F85" s="977">
        <f t="shared" ref="F85:F87" si="37">0.5*(MAX(C85:E85)-MIN(C85:E85))</f>
        <v>4.9999500000000002E-2</v>
      </c>
      <c r="G85" s="974">
        <f>(1.7/100)*B85</f>
        <v>0.34</v>
      </c>
      <c r="H85" s="1394"/>
      <c r="I85" s="974">
        <v>20</v>
      </c>
      <c r="J85" s="975">
        <v>9.9999999999999995E-7</v>
      </c>
      <c r="K85" s="975">
        <v>9.9999999999999995E-7</v>
      </c>
      <c r="L85" s="983"/>
      <c r="M85" s="977">
        <f t="shared" ref="M85:M87" si="38">0.5*(MAX(J85:L85)-MIN(J85:L85))</f>
        <v>0</v>
      </c>
      <c r="N85" s="974">
        <f t="shared" ref="N85:N87" si="39">(1.7/100)*I85</f>
        <v>0.34</v>
      </c>
      <c r="O85" s="1398"/>
      <c r="P85" s="974">
        <v>20</v>
      </c>
      <c r="Q85" s="975">
        <v>9.9999999999999995E-7</v>
      </c>
      <c r="R85" s="976" t="s">
        <v>291</v>
      </c>
      <c r="S85" s="983"/>
      <c r="T85" s="977">
        <f t="shared" ref="T85:T87" si="40">0.5*(MAX(Q85:S85)-MIN(Q85:S85))</f>
        <v>0</v>
      </c>
      <c r="U85" s="974">
        <v>0</v>
      </c>
    </row>
    <row r="86" spans="1:21" x14ac:dyDescent="0.2">
      <c r="A86" s="1392"/>
      <c r="B86" s="974">
        <v>50</v>
      </c>
      <c r="C86" s="975">
        <v>9.9999999999999995E-7</v>
      </c>
      <c r="D86" s="975">
        <v>0.4</v>
      </c>
      <c r="E86" s="983"/>
      <c r="F86" s="977">
        <f t="shared" si="37"/>
        <v>0.19999950000000002</v>
      </c>
      <c r="G86" s="974">
        <f>(1.7/100)*B86</f>
        <v>0.85000000000000009</v>
      </c>
      <c r="H86" s="1394"/>
      <c r="I86" s="974">
        <v>50</v>
      </c>
      <c r="J86" s="975">
        <v>0.2</v>
      </c>
      <c r="K86" s="975">
        <v>9.9999999999999995E-7</v>
      </c>
      <c r="L86" s="983"/>
      <c r="M86" s="977">
        <f t="shared" si="38"/>
        <v>9.9999500000000005E-2</v>
      </c>
      <c r="N86" s="974">
        <f t="shared" si="39"/>
        <v>0.85000000000000009</v>
      </c>
      <c r="O86" s="1398"/>
      <c r="P86" s="974">
        <v>50</v>
      </c>
      <c r="Q86" s="975">
        <v>9.9999999999999995E-7</v>
      </c>
      <c r="R86" s="976" t="s">
        <v>291</v>
      </c>
      <c r="S86" s="983"/>
      <c r="T86" s="977">
        <f t="shared" si="40"/>
        <v>0</v>
      </c>
      <c r="U86" s="974">
        <v>0</v>
      </c>
    </row>
    <row r="87" spans="1:21" x14ac:dyDescent="0.2">
      <c r="A87" s="1392"/>
      <c r="B87" s="974">
        <v>100</v>
      </c>
      <c r="C87" s="975">
        <v>9.9999999999999995E-7</v>
      </c>
      <c r="D87" s="975">
        <v>1.4</v>
      </c>
      <c r="E87" s="983"/>
      <c r="F87" s="977">
        <f t="shared" si="37"/>
        <v>0.6999995</v>
      </c>
      <c r="G87" s="974">
        <f>(1.7/100)*B87</f>
        <v>1.7000000000000002</v>
      </c>
      <c r="H87" s="1394"/>
      <c r="I87" s="974">
        <v>100</v>
      </c>
      <c r="J87" s="975">
        <v>0.4</v>
      </c>
      <c r="K87" s="975">
        <v>9.9999999999999995E-7</v>
      </c>
      <c r="L87" s="983"/>
      <c r="M87" s="977">
        <f t="shared" si="38"/>
        <v>0.19999950000000002</v>
      </c>
      <c r="N87" s="974">
        <f t="shared" si="39"/>
        <v>1.7000000000000002</v>
      </c>
      <c r="O87" s="1398"/>
      <c r="P87" s="974">
        <v>100</v>
      </c>
      <c r="Q87" s="975">
        <v>9.9999999999999995E-7</v>
      </c>
      <c r="R87" s="976" t="s">
        <v>291</v>
      </c>
      <c r="S87" s="983"/>
      <c r="T87" s="977">
        <f t="shared" si="40"/>
        <v>0</v>
      </c>
      <c r="U87" s="974">
        <v>0</v>
      </c>
    </row>
    <row r="88" spans="1:21" ht="12.75" customHeight="1" x14ac:dyDescent="0.2">
      <c r="A88" s="1392"/>
      <c r="B88" s="1391" t="s">
        <v>357</v>
      </c>
      <c r="C88" s="1391"/>
      <c r="D88" s="1391"/>
      <c r="E88" s="1391"/>
      <c r="F88" s="1384" t="s">
        <v>352</v>
      </c>
      <c r="G88" s="1384" t="s">
        <v>284</v>
      </c>
      <c r="H88" s="1394"/>
      <c r="I88" s="1391" t="s">
        <v>357</v>
      </c>
      <c r="J88" s="1391"/>
      <c r="K88" s="1391"/>
      <c r="L88" s="1391"/>
      <c r="M88" s="1384" t="s">
        <v>352</v>
      </c>
      <c r="N88" s="1384" t="s">
        <v>284</v>
      </c>
      <c r="O88" s="1398"/>
      <c r="P88" s="1391" t="str">
        <f>B88</f>
        <v>Resistance</v>
      </c>
      <c r="Q88" s="1391"/>
      <c r="R88" s="1391"/>
      <c r="S88" s="1391"/>
      <c r="T88" s="1384" t="s">
        <v>352</v>
      </c>
      <c r="U88" s="1384" t="s">
        <v>284</v>
      </c>
    </row>
    <row r="89" spans="1:21" ht="15" x14ac:dyDescent="0.2">
      <c r="A89" s="1392"/>
      <c r="B89" s="968" t="s">
        <v>565</v>
      </c>
      <c r="C89" s="970">
        <f>C67</f>
        <v>2020</v>
      </c>
      <c r="D89" s="970">
        <f>D67</f>
        <v>2018</v>
      </c>
      <c r="E89" s="970" t="str">
        <f>E67</f>
        <v>-</v>
      </c>
      <c r="F89" s="1384"/>
      <c r="G89" s="1384"/>
      <c r="H89" s="1394"/>
      <c r="I89" s="968" t="s">
        <v>565</v>
      </c>
      <c r="J89" s="970">
        <f>J67</f>
        <v>2022</v>
      </c>
      <c r="K89" s="970">
        <f>K67</f>
        <v>2020</v>
      </c>
      <c r="L89" s="970" t="str">
        <f>L67</f>
        <v>-</v>
      </c>
      <c r="M89" s="1384"/>
      <c r="N89" s="1384"/>
      <c r="O89" s="1398"/>
      <c r="P89" s="968" t="s">
        <v>565</v>
      </c>
      <c r="Q89" s="970">
        <f>Q67</f>
        <v>2020</v>
      </c>
      <c r="R89" s="970" t="str">
        <f>R67</f>
        <v>-</v>
      </c>
      <c r="S89" s="970" t="str">
        <f>S67</f>
        <v>-</v>
      </c>
      <c r="T89" s="1384"/>
      <c r="U89" s="1384"/>
    </row>
    <row r="90" spans="1:21" x14ac:dyDescent="0.2">
      <c r="A90" s="1392"/>
      <c r="B90" s="974">
        <v>0.01</v>
      </c>
      <c r="C90" s="975">
        <v>9.9999999999999995E-7</v>
      </c>
      <c r="D90" s="975">
        <v>9.9999999999999995E-7</v>
      </c>
      <c r="E90" s="983"/>
      <c r="F90" s="977">
        <f>0.5*(MAX(C90:E90)-MIN(C90:E90))</f>
        <v>0</v>
      </c>
      <c r="G90" s="974">
        <v>0.01</v>
      </c>
      <c r="H90" s="1394"/>
      <c r="I90" s="974">
        <v>0.1</v>
      </c>
      <c r="J90" s="975">
        <v>-1E-3</v>
      </c>
      <c r="K90" s="975">
        <v>-1E-3</v>
      </c>
      <c r="L90" s="983"/>
      <c r="M90" s="977">
        <f>0.5*(MAX(J90:L90)-MIN(J90:L90))</f>
        <v>0</v>
      </c>
      <c r="N90" s="974">
        <f>(1.2/100)*I90</f>
        <v>1.2000000000000001E-3</v>
      </c>
      <c r="O90" s="1398"/>
      <c r="P90" s="974">
        <v>1E-3</v>
      </c>
      <c r="Q90" s="975">
        <v>-1E-3</v>
      </c>
      <c r="R90" s="976" t="s">
        <v>291</v>
      </c>
      <c r="S90" s="983"/>
      <c r="T90" s="977">
        <f>0.5*(MAX(Q90:S90)-MIN(Q90:S90))</f>
        <v>0</v>
      </c>
      <c r="U90" s="974">
        <f>(1.2/100)*P90</f>
        <v>1.2E-5</v>
      </c>
    </row>
    <row r="91" spans="1:21" x14ac:dyDescent="0.2">
      <c r="A91" s="1392"/>
      <c r="B91" s="974">
        <v>0.5</v>
      </c>
      <c r="C91" s="975">
        <v>9.9999999999999995E-7</v>
      </c>
      <c r="D91" s="975">
        <v>1E-3</v>
      </c>
      <c r="E91" s="983"/>
      <c r="F91" s="977">
        <f t="shared" ref="F91:F93" si="41">0.5*(MAX(C91:E91)-MIN(C91:E91))</f>
        <v>4.9950000000000005E-4</v>
      </c>
      <c r="G91" s="974">
        <f>(1.2/100)*B91</f>
        <v>6.0000000000000001E-3</v>
      </c>
      <c r="H91" s="1394"/>
      <c r="I91" s="974">
        <v>0.5</v>
      </c>
      <c r="J91" s="975">
        <v>4.0000000000000001E-3</v>
      </c>
      <c r="K91" s="975">
        <v>-3.0000000000000001E-3</v>
      </c>
      <c r="L91" s="983"/>
      <c r="M91" s="977">
        <f t="shared" ref="M91:M93" si="42">0.5*(MAX(J91:L91)-MIN(J91:L91))</f>
        <v>3.5000000000000001E-3</v>
      </c>
      <c r="N91" s="974">
        <f>(1.2/100)*I91</f>
        <v>6.0000000000000001E-3</v>
      </c>
      <c r="O91" s="1398"/>
      <c r="P91" s="974">
        <v>0.10199999999999999</v>
      </c>
      <c r="Q91" s="975">
        <v>-2E-3</v>
      </c>
      <c r="R91" s="976" t="s">
        <v>291</v>
      </c>
      <c r="S91" s="983"/>
      <c r="T91" s="977">
        <f t="shared" ref="T91:T93" si="43">0.5*(MAX(Q91:S91)-MIN(Q91:S91))</f>
        <v>0</v>
      </c>
      <c r="U91" s="974">
        <f>(1.2/100)*P91</f>
        <v>1.224E-3</v>
      </c>
    </row>
    <row r="92" spans="1:21" x14ac:dyDescent="0.2">
      <c r="A92" s="1392"/>
      <c r="B92" s="974">
        <v>1</v>
      </c>
      <c r="C92" s="975">
        <v>-2E-3</v>
      </c>
      <c r="D92" s="975">
        <v>1E-3</v>
      </c>
      <c r="E92" s="983"/>
      <c r="F92" s="977">
        <f t="shared" si="41"/>
        <v>1.5E-3</v>
      </c>
      <c r="G92" s="974">
        <f>(1.2/100)*B92</f>
        <v>1.2E-2</v>
      </c>
      <c r="H92" s="1394"/>
      <c r="I92" s="974">
        <v>1</v>
      </c>
      <c r="J92" s="975">
        <v>5.0000000000000001E-3</v>
      </c>
      <c r="K92" s="975">
        <v>1E-3</v>
      </c>
      <c r="L92" s="983"/>
      <c r="M92" s="977">
        <f t="shared" si="42"/>
        <v>2E-3</v>
      </c>
      <c r="N92" s="974">
        <f>(1.2/100)*I92</f>
        <v>1.2E-2</v>
      </c>
      <c r="O92" s="1398"/>
      <c r="P92" s="974">
        <v>0.5</v>
      </c>
      <c r="Q92" s="975">
        <v>9.9999999999999995E-7</v>
      </c>
      <c r="R92" s="976" t="s">
        <v>291</v>
      </c>
      <c r="S92" s="983"/>
      <c r="T92" s="977">
        <f t="shared" si="43"/>
        <v>0</v>
      </c>
      <c r="U92" s="974">
        <f>(1.2/100)*P92</f>
        <v>6.0000000000000001E-3</v>
      </c>
    </row>
    <row r="93" spans="1:21" x14ac:dyDescent="0.2">
      <c r="A93" s="1392"/>
      <c r="B93" s="974">
        <v>2</v>
      </c>
      <c r="C93" s="975">
        <v>9.9999999999999995E-7</v>
      </c>
      <c r="D93" s="975">
        <v>9.9999999999999995E-7</v>
      </c>
      <c r="E93" s="983"/>
      <c r="F93" s="977">
        <f t="shared" si="41"/>
        <v>0</v>
      </c>
      <c r="G93" s="974">
        <f>(1.2/100)*B93</f>
        <v>2.4E-2</v>
      </c>
      <c r="H93" s="1394"/>
      <c r="I93" s="974">
        <v>2</v>
      </c>
      <c r="J93" s="975">
        <v>5.0000000000000001E-3</v>
      </c>
      <c r="K93" s="975">
        <v>-1E-3</v>
      </c>
      <c r="L93" s="983"/>
      <c r="M93" s="977">
        <f t="shared" si="42"/>
        <v>3.0000000000000001E-3</v>
      </c>
      <c r="N93" s="974">
        <f>(1.2/100)*I93</f>
        <v>2.4E-2</v>
      </c>
      <c r="O93" s="1398"/>
      <c r="P93" s="984">
        <v>1</v>
      </c>
      <c r="Q93" s="995">
        <v>-1E-3</v>
      </c>
      <c r="R93" s="986" t="s">
        <v>291</v>
      </c>
      <c r="S93" s="983"/>
      <c r="T93" s="987">
        <f t="shared" si="43"/>
        <v>0</v>
      </c>
      <c r="U93" s="984">
        <f>(1.2/100)*P93</f>
        <v>1.2E-2</v>
      </c>
    </row>
    <row r="94" spans="1:21" ht="15.75" x14ac:dyDescent="0.2">
      <c r="A94" s="996"/>
      <c r="B94" s="989"/>
      <c r="C94" s="989"/>
      <c r="D94" s="990"/>
      <c r="E94" s="137"/>
      <c r="F94" s="990"/>
      <c r="H94" s="991"/>
      <c r="I94" s="989"/>
      <c r="J94" s="989"/>
      <c r="K94" s="990"/>
      <c r="L94" s="990"/>
      <c r="M94" s="990"/>
      <c r="O94" s="991"/>
      <c r="P94" s="989"/>
      <c r="Q94" s="989"/>
      <c r="R94" s="990"/>
      <c r="S94" s="990"/>
      <c r="T94" s="990"/>
    </row>
    <row r="95" spans="1:21" ht="15" x14ac:dyDescent="0.2">
      <c r="A95" s="1392" t="s">
        <v>366</v>
      </c>
      <c r="B95" s="1393">
        <v>10</v>
      </c>
      <c r="C95" s="1393"/>
      <c r="D95" s="1393"/>
      <c r="E95" s="1393"/>
      <c r="F95" s="1393"/>
      <c r="G95" s="1393"/>
      <c r="H95" s="1394" t="s">
        <v>367</v>
      </c>
      <c r="I95" s="1395">
        <v>11</v>
      </c>
      <c r="J95" s="1395"/>
      <c r="K95" s="1395"/>
      <c r="L95" s="1395"/>
      <c r="M95" s="1395"/>
      <c r="N95" s="1395"/>
      <c r="O95" s="1394" t="s">
        <v>368</v>
      </c>
      <c r="P95" s="1395">
        <v>12</v>
      </c>
      <c r="Q95" s="1395"/>
      <c r="R95" s="1395"/>
      <c r="S95" s="1395"/>
      <c r="T95" s="1395"/>
      <c r="U95" s="1395"/>
    </row>
    <row r="96" spans="1:21" ht="15" x14ac:dyDescent="0.25">
      <c r="A96" s="1392"/>
      <c r="B96" s="1396" t="s">
        <v>350</v>
      </c>
      <c r="C96" s="1396"/>
      <c r="D96" s="1396"/>
      <c r="E96" s="1396"/>
      <c r="F96" s="1396"/>
      <c r="G96" s="1396"/>
      <c r="H96" s="1394"/>
      <c r="I96" s="1397" t="s">
        <v>350</v>
      </c>
      <c r="J96" s="1397"/>
      <c r="K96" s="1397"/>
      <c r="L96" s="1397"/>
      <c r="M96" s="1397"/>
      <c r="N96" s="1397"/>
      <c r="O96" s="1394"/>
      <c r="P96" s="1397" t="s">
        <v>350</v>
      </c>
      <c r="Q96" s="1397"/>
      <c r="R96" s="1397"/>
      <c r="S96" s="1397"/>
      <c r="T96" s="1397"/>
      <c r="U96" s="1397"/>
    </row>
    <row r="97" spans="1:21" x14ac:dyDescent="0.2">
      <c r="A97" s="1392"/>
      <c r="B97" s="1384" t="s">
        <v>351</v>
      </c>
      <c r="C97" s="1384"/>
      <c r="D97" s="1384"/>
      <c r="E97" s="1384"/>
      <c r="F97" s="1384" t="s">
        <v>352</v>
      </c>
      <c r="G97" s="1384" t="s">
        <v>284</v>
      </c>
      <c r="H97" s="1394"/>
      <c r="I97" s="1384" t="str">
        <f>B97</f>
        <v>Setting VAC</v>
      </c>
      <c r="J97" s="1384"/>
      <c r="K97" s="1384"/>
      <c r="L97" s="1384"/>
      <c r="M97" s="1384" t="s">
        <v>352</v>
      </c>
      <c r="N97" s="1384" t="s">
        <v>284</v>
      </c>
      <c r="O97" s="1394"/>
      <c r="P97" s="1384" t="str">
        <f>B97</f>
        <v>Setting VAC</v>
      </c>
      <c r="Q97" s="1384"/>
      <c r="R97" s="1384"/>
      <c r="S97" s="1384"/>
      <c r="T97" s="1384" t="s">
        <v>352</v>
      </c>
      <c r="U97" s="1384" t="s">
        <v>284</v>
      </c>
    </row>
    <row r="98" spans="1:21" ht="15" x14ac:dyDescent="0.2">
      <c r="A98" s="1392"/>
      <c r="B98" s="968" t="s">
        <v>353</v>
      </c>
      <c r="C98" s="971" t="s">
        <v>291</v>
      </c>
      <c r="D98" s="971" t="s">
        <v>291</v>
      </c>
      <c r="E98" s="971" t="s">
        <v>291</v>
      </c>
      <c r="F98" s="1384"/>
      <c r="G98" s="1384"/>
      <c r="H98" s="1394"/>
      <c r="I98" s="968" t="s">
        <v>353</v>
      </c>
      <c r="J98" s="971" t="s">
        <v>291</v>
      </c>
      <c r="K98" s="971" t="s">
        <v>291</v>
      </c>
      <c r="L98" s="971" t="s">
        <v>291</v>
      </c>
      <c r="M98" s="1384"/>
      <c r="N98" s="1384"/>
      <c r="O98" s="1394"/>
      <c r="P98" s="968" t="s">
        <v>353</v>
      </c>
      <c r="Q98" s="971" t="s">
        <v>291</v>
      </c>
      <c r="R98" s="971" t="s">
        <v>291</v>
      </c>
      <c r="S98" s="971" t="s">
        <v>291</v>
      </c>
      <c r="T98" s="1384"/>
      <c r="U98" s="1384"/>
    </row>
    <row r="99" spans="1:21" x14ac:dyDescent="0.2">
      <c r="A99" s="1392"/>
      <c r="B99" s="974">
        <v>150</v>
      </c>
      <c r="C99" s="997" t="s">
        <v>291</v>
      </c>
      <c r="D99" s="997" t="s">
        <v>291</v>
      </c>
      <c r="E99" s="997" t="s">
        <v>291</v>
      </c>
      <c r="F99" s="149">
        <f>0.5*(MAX(C99:E99)-MIN(C99:E99))</f>
        <v>0</v>
      </c>
      <c r="G99" s="997" t="s">
        <v>291</v>
      </c>
      <c r="H99" s="1394"/>
      <c r="I99" s="974">
        <v>150</v>
      </c>
      <c r="J99" s="997" t="s">
        <v>291</v>
      </c>
      <c r="K99" s="997" t="s">
        <v>291</v>
      </c>
      <c r="L99" s="998"/>
      <c r="M99" s="149">
        <f>0.5*(MAX(J99:L99)-MIN(J99:L99))</f>
        <v>0</v>
      </c>
      <c r="N99" s="997" t="s">
        <v>291</v>
      </c>
      <c r="O99" s="1394"/>
      <c r="P99" s="974">
        <v>150</v>
      </c>
      <c r="Q99" s="997" t="s">
        <v>291</v>
      </c>
      <c r="R99" s="997" t="s">
        <v>291</v>
      </c>
      <c r="S99" s="998"/>
      <c r="T99" s="149">
        <f>0.5*(MAX(Q99:S99)-MIN(Q99:S99))</f>
        <v>0</v>
      </c>
      <c r="U99" s="997" t="s">
        <v>291</v>
      </c>
    </row>
    <row r="100" spans="1:21" x14ac:dyDescent="0.2">
      <c r="A100" s="1392"/>
      <c r="B100" s="974">
        <v>180</v>
      </c>
      <c r="C100" s="999" t="s">
        <v>291</v>
      </c>
      <c r="D100" s="999" t="s">
        <v>291</v>
      </c>
      <c r="E100" s="999" t="s">
        <v>291</v>
      </c>
      <c r="F100" s="149">
        <f t="shared" ref="F100:F104" si="44">0.5*(MAX(C100:E100)-MIN(C100:E100))</f>
        <v>0</v>
      </c>
      <c r="G100" s="997" t="s">
        <v>291</v>
      </c>
      <c r="H100" s="1394"/>
      <c r="I100" s="974">
        <v>180</v>
      </c>
      <c r="J100" s="999" t="s">
        <v>291</v>
      </c>
      <c r="K100" s="999" t="s">
        <v>291</v>
      </c>
      <c r="L100" s="998"/>
      <c r="M100" s="149">
        <f t="shared" ref="M100:M104" si="45">0.5*(MAX(J100:L100)-MIN(J100:L100))</f>
        <v>0</v>
      </c>
      <c r="N100" s="999" t="s">
        <v>291</v>
      </c>
      <c r="O100" s="1394"/>
      <c r="P100" s="974">
        <v>180</v>
      </c>
      <c r="Q100" s="999" t="s">
        <v>291</v>
      </c>
      <c r="R100" s="999" t="s">
        <v>291</v>
      </c>
      <c r="S100" s="998"/>
      <c r="T100" s="149">
        <f t="shared" ref="T100:T104" si="46">0.5*(MAX(Q100:S100)-MIN(Q100:S100))</f>
        <v>0</v>
      </c>
      <c r="U100" s="999" t="s">
        <v>291</v>
      </c>
    </row>
    <row r="101" spans="1:21" x14ac:dyDescent="0.2">
      <c r="A101" s="1392"/>
      <c r="B101" s="974">
        <v>200</v>
      </c>
      <c r="C101" s="999" t="s">
        <v>291</v>
      </c>
      <c r="D101" s="999" t="s">
        <v>291</v>
      </c>
      <c r="E101" s="999" t="s">
        <v>291</v>
      </c>
      <c r="F101" s="149">
        <f t="shared" si="44"/>
        <v>0</v>
      </c>
      <c r="G101" s="997" t="s">
        <v>291</v>
      </c>
      <c r="H101" s="1394"/>
      <c r="I101" s="974">
        <v>200</v>
      </c>
      <c r="J101" s="999" t="s">
        <v>291</v>
      </c>
      <c r="K101" s="999" t="s">
        <v>291</v>
      </c>
      <c r="L101" s="998"/>
      <c r="M101" s="149">
        <f t="shared" si="45"/>
        <v>0</v>
      </c>
      <c r="N101" s="999" t="s">
        <v>291</v>
      </c>
      <c r="O101" s="1394"/>
      <c r="P101" s="974">
        <v>200</v>
      </c>
      <c r="Q101" s="999" t="s">
        <v>291</v>
      </c>
      <c r="R101" s="999" t="s">
        <v>291</v>
      </c>
      <c r="S101" s="998"/>
      <c r="T101" s="149">
        <f t="shared" si="46"/>
        <v>0</v>
      </c>
      <c r="U101" s="999" t="s">
        <v>291</v>
      </c>
    </row>
    <row r="102" spans="1:21" x14ac:dyDescent="0.2">
      <c r="A102" s="1392"/>
      <c r="B102" s="974">
        <v>220</v>
      </c>
      <c r="C102" s="999" t="s">
        <v>291</v>
      </c>
      <c r="D102" s="999" t="s">
        <v>291</v>
      </c>
      <c r="E102" s="999" t="s">
        <v>291</v>
      </c>
      <c r="F102" s="149">
        <f t="shared" si="44"/>
        <v>0</v>
      </c>
      <c r="G102" s="997" t="s">
        <v>291</v>
      </c>
      <c r="H102" s="1394"/>
      <c r="I102" s="974">
        <v>220</v>
      </c>
      <c r="J102" s="999" t="s">
        <v>291</v>
      </c>
      <c r="K102" s="999" t="s">
        <v>291</v>
      </c>
      <c r="L102" s="998"/>
      <c r="M102" s="149">
        <f t="shared" si="45"/>
        <v>0</v>
      </c>
      <c r="N102" s="999" t="s">
        <v>291</v>
      </c>
      <c r="O102" s="1394"/>
      <c r="P102" s="974">
        <v>220</v>
      </c>
      <c r="Q102" s="999" t="s">
        <v>291</v>
      </c>
      <c r="R102" s="999" t="s">
        <v>291</v>
      </c>
      <c r="S102" s="998"/>
      <c r="T102" s="149">
        <f t="shared" si="46"/>
        <v>0</v>
      </c>
      <c r="U102" s="999" t="s">
        <v>291</v>
      </c>
    </row>
    <row r="103" spans="1:21" x14ac:dyDescent="0.2">
      <c r="A103" s="1392"/>
      <c r="B103" s="974">
        <v>230</v>
      </c>
      <c r="C103" s="999" t="s">
        <v>291</v>
      </c>
      <c r="D103" s="999" t="s">
        <v>291</v>
      </c>
      <c r="E103" s="999" t="s">
        <v>291</v>
      </c>
      <c r="F103" s="149">
        <f t="shared" si="44"/>
        <v>0</v>
      </c>
      <c r="G103" s="997" t="s">
        <v>291</v>
      </c>
      <c r="H103" s="1394"/>
      <c r="I103" s="974">
        <v>230</v>
      </c>
      <c r="J103" s="999" t="s">
        <v>291</v>
      </c>
      <c r="K103" s="999" t="s">
        <v>291</v>
      </c>
      <c r="L103" s="998"/>
      <c r="M103" s="149">
        <f t="shared" si="45"/>
        <v>0</v>
      </c>
      <c r="N103" s="999" t="s">
        <v>291</v>
      </c>
      <c r="O103" s="1394"/>
      <c r="P103" s="974">
        <v>230</v>
      </c>
      <c r="Q103" s="999" t="s">
        <v>291</v>
      </c>
      <c r="R103" s="999" t="s">
        <v>291</v>
      </c>
      <c r="S103" s="998"/>
      <c r="T103" s="149">
        <f t="shared" si="46"/>
        <v>0</v>
      </c>
      <c r="U103" s="999" t="s">
        <v>291</v>
      </c>
    </row>
    <row r="104" spans="1:21" x14ac:dyDescent="0.2">
      <c r="A104" s="1392"/>
      <c r="B104" s="974">
        <v>250</v>
      </c>
      <c r="C104" s="999" t="s">
        <v>291</v>
      </c>
      <c r="D104" s="999" t="s">
        <v>291</v>
      </c>
      <c r="E104" s="999" t="s">
        <v>291</v>
      </c>
      <c r="F104" s="149">
        <f t="shared" si="44"/>
        <v>0</v>
      </c>
      <c r="G104" s="997" t="s">
        <v>291</v>
      </c>
      <c r="H104" s="1394"/>
      <c r="I104" s="974">
        <v>250</v>
      </c>
      <c r="J104" s="999" t="s">
        <v>291</v>
      </c>
      <c r="K104" s="999" t="s">
        <v>291</v>
      </c>
      <c r="L104" s="998"/>
      <c r="M104" s="149">
        <f t="shared" si="45"/>
        <v>0</v>
      </c>
      <c r="N104" s="999" t="s">
        <v>291</v>
      </c>
      <c r="O104" s="1394"/>
      <c r="P104" s="974">
        <v>250</v>
      </c>
      <c r="Q104" s="999" t="s">
        <v>291</v>
      </c>
      <c r="R104" s="999" t="s">
        <v>291</v>
      </c>
      <c r="S104" s="998"/>
      <c r="T104" s="149">
        <f t="shared" si="46"/>
        <v>0</v>
      </c>
      <c r="U104" s="999" t="s">
        <v>291</v>
      </c>
    </row>
    <row r="105" spans="1:21" ht="13.15" customHeight="1" x14ac:dyDescent="0.2">
      <c r="A105" s="1392"/>
      <c r="B105" s="1391" t="s">
        <v>354</v>
      </c>
      <c r="C105" s="1391"/>
      <c r="D105" s="1391"/>
      <c r="E105" s="1391"/>
      <c r="F105" s="1384" t="s">
        <v>352</v>
      </c>
      <c r="G105" s="1384" t="s">
        <v>284</v>
      </c>
      <c r="H105" s="1394"/>
      <c r="I105" s="1391" t="str">
        <f>B105</f>
        <v>Current Leakage</v>
      </c>
      <c r="J105" s="1391"/>
      <c r="K105" s="1391"/>
      <c r="L105" s="1391"/>
      <c r="M105" s="1384" t="s">
        <v>352</v>
      </c>
      <c r="N105" s="1384" t="s">
        <v>284</v>
      </c>
      <c r="O105" s="1394"/>
      <c r="P105" s="1391" t="str">
        <f>B105</f>
        <v>Current Leakage</v>
      </c>
      <c r="Q105" s="1391"/>
      <c r="R105" s="1391"/>
      <c r="S105" s="1391"/>
      <c r="T105" s="1384" t="s">
        <v>352</v>
      </c>
      <c r="U105" s="1384" t="s">
        <v>284</v>
      </c>
    </row>
    <row r="106" spans="1:21" ht="15" x14ac:dyDescent="0.2">
      <c r="A106" s="1392"/>
      <c r="B106" s="968" t="s">
        <v>355</v>
      </c>
      <c r="C106" s="970" t="str">
        <f>C98</f>
        <v>-</v>
      </c>
      <c r="D106" s="970" t="str">
        <f>D98</f>
        <v>-</v>
      </c>
      <c r="E106" s="970" t="str">
        <f>E98</f>
        <v>-</v>
      </c>
      <c r="F106" s="1384"/>
      <c r="G106" s="1384"/>
      <c r="H106" s="1394"/>
      <c r="I106" s="968" t="s">
        <v>355</v>
      </c>
      <c r="J106" s="970" t="str">
        <f>J98</f>
        <v>-</v>
      </c>
      <c r="K106" s="970" t="str">
        <f>K98</f>
        <v>-</v>
      </c>
      <c r="L106" s="970" t="str">
        <f>L98</f>
        <v>-</v>
      </c>
      <c r="M106" s="1384"/>
      <c r="N106" s="1384"/>
      <c r="O106" s="1394"/>
      <c r="P106" s="968" t="s">
        <v>355</v>
      </c>
      <c r="Q106" s="970" t="str">
        <f>Q98</f>
        <v>-</v>
      </c>
      <c r="R106" s="970" t="str">
        <f>R98</f>
        <v>-</v>
      </c>
      <c r="S106" s="970" t="str">
        <f>S98</f>
        <v>-</v>
      </c>
      <c r="T106" s="1384"/>
      <c r="U106" s="1384"/>
    </row>
    <row r="107" spans="1:21" x14ac:dyDescent="0.2">
      <c r="A107" s="1392"/>
      <c r="B107" s="974">
        <v>0</v>
      </c>
      <c r="C107" s="997" t="s">
        <v>291</v>
      </c>
      <c r="D107" s="997" t="s">
        <v>291</v>
      </c>
      <c r="E107" s="998"/>
      <c r="F107" s="149">
        <f>0.5*(MAX(C107:E107)-MIN(C107:E107))</f>
        <v>0</v>
      </c>
      <c r="G107" s="997" t="s">
        <v>291</v>
      </c>
      <c r="H107" s="1394"/>
      <c r="I107" s="974">
        <v>0</v>
      </c>
      <c r="J107" s="997" t="s">
        <v>291</v>
      </c>
      <c r="K107" s="997" t="s">
        <v>291</v>
      </c>
      <c r="L107" s="998"/>
      <c r="M107" s="149">
        <f>0.5*(MAX(J107:L107)-MIN(J107:L107))</f>
        <v>0</v>
      </c>
      <c r="N107" s="997" t="s">
        <v>291</v>
      </c>
      <c r="O107" s="1394"/>
      <c r="P107" s="974">
        <v>0</v>
      </c>
      <c r="Q107" s="997" t="s">
        <v>291</v>
      </c>
      <c r="R107" s="997" t="s">
        <v>291</v>
      </c>
      <c r="S107" s="998"/>
      <c r="T107" s="149">
        <f>0.5*(MAX(Q107:S107)-MIN(Q107:S107))</f>
        <v>0</v>
      </c>
      <c r="U107" s="997" t="s">
        <v>291</v>
      </c>
    </row>
    <row r="108" spans="1:21" x14ac:dyDescent="0.2">
      <c r="A108" s="1392"/>
      <c r="B108" s="974">
        <v>50</v>
      </c>
      <c r="C108" s="999" t="s">
        <v>291</v>
      </c>
      <c r="D108" s="999" t="s">
        <v>291</v>
      </c>
      <c r="E108" s="998"/>
      <c r="F108" s="149">
        <f t="shared" ref="F108:F112" si="47">0.5*(MAX(C108:E108)-MIN(C108:E108))</f>
        <v>0</v>
      </c>
      <c r="G108" s="997" t="s">
        <v>291</v>
      </c>
      <c r="H108" s="1394"/>
      <c r="I108" s="974">
        <v>50</v>
      </c>
      <c r="J108" s="999" t="s">
        <v>291</v>
      </c>
      <c r="K108" s="999" t="s">
        <v>291</v>
      </c>
      <c r="L108" s="998"/>
      <c r="M108" s="149">
        <f t="shared" ref="M108:M112" si="48">0.5*(MAX(J108:L108)-MIN(J108:L108))</f>
        <v>0</v>
      </c>
      <c r="N108" s="999" t="s">
        <v>291</v>
      </c>
      <c r="O108" s="1394"/>
      <c r="P108" s="974">
        <v>50</v>
      </c>
      <c r="Q108" s="999" t="s">
        <v>291</v>
      </c>
      <c r="R108" s="999" t="s">
        <v>291</v>
      </c>
      <c r="S108" s="998"/>
      <c r="T108" s="149">
        <f t="shared" ref="T108:T112" si="49">0.5*(MAX(Q108:S108)-MIN(Q108:S108))</f>
        <v>0</v>
      </c>
      <c r="U108" s="999" t="s">
        <v>291</v>
      </c>
    </row>
    <row r="109" spans="1:21" x14ac:dyDescent="0.2">
      <c r="A109" s="1392"/>
      <c r="B109" s="974">
        <v>100</v>
      </c>
      <c r="C109" s="999" t="s">
        <v>291</v>
      </c>
      <c r="D109" s="999" t="s">
        <v>291</v>
      </c>
      <c r="E109" s="998"/>
      <c r="F109" s="149">
        <f t="shared" si="47"/>
        <v>0</v>
      </c>
      <c r="G109" s="997" t="s">
        <v>291</v>
      </c>
      <c r="H109" s="1394"/>
      <c r="I109" s="974">
        <v>100</v>
      </c>
      <c r="J109" s="999" t="s">
        <v>291</v>
      </c>
      <c r="K109" s="999" t="s">
        <v>291</v>
      </c>
      <c r="L109" s="998"/>
      <c r="M109" s="149">
        <f t="shared" si="48"/>
        <v>0</v>
      </c>
      <c r="N109" s="999" t="s">
        <v>291</v>
      </c>
      <c r="O109" s="1394"/>
      <c r="P109" s="974">
        <v>100</v>
      </c>
      <c r="Q109" s="999" t="s">
        <v>291</v>
      </c>
      <c r="R109" s="999" t="s">
        <v>291</v>
      </c>
      <c r="S109" s="998"/>
      <c r="T109" s="149">
        <f t="shared" si="49"/>
        <v>0</v>
      </c>
      <c r="U109" s="999" t="s">
        <v>291</v>
      </c>
    </row>
    <row r="110" spans="1:21" x14ac:dyDescent="0.2">
      <c r="A110" s="1392"/>
      <c r="B110" s="974">
        <v>200</v>
      </c>
      <c r="C110" s="999" t="s">
        <v>291</v>
      </c>
      <c r="D110" s="999" t="s">
        <v>291</v>
      </c>
      <c r="E110" s="998"/>
      <c r="F110" s="149">
        <f t="shared" si="47"/>
        <v>0</v>
      </c>
      <c r="G110" s="997" t="s">
        <v>291</v>
      </c>
      <c r="H110" s="1394"/>
      <c r="I110" s="974">
        <v>200</v>
      </c>
      <c r="J110" s="999" t="s">
        <v>291</v>
      </c>
      <c r="K110" s="999" t="s">
        <v>291</v>
      </c>
      <c r="L110" s="998"/>
      <c r="M110" s="149">
        <f t="shared" si="48"/>
        <v>0</v>
      </c>
      <c r="N110" s="999" t="s">
        <v>291</v>
      </c>
      <c r="O110" s="1394"/>
      <c r="P110" s="974">
        <v>200</v>
      </c>
      <c r="Q110" s="999" t="s">
        <v>291</v>
      </c>
      <c r="R110" s="999" t="s">
        <v>291</v>
      </c>
      <c r="S110" s="998"/>
      <c r="T110" s="149">
        <f t="shared" si="49"/>
        <v>0</v>
      </c>
      <c r="U110" s="999" t="s">
        <v>291</v>
      </c>
    </row>
    <row r="111" spans="1:21" x14ac:dyDescent="0.2">
      <c r="A111" s="1392"/>
      <c r="B111" s="974">
        <v>500</v>
      </c>
      <c r="C111" s="999" t="s">
        <v>291</v>
      </c>
      <c r="D111" s="999" t="s">
        <v>291</v>
      </c>
      <c r="E111" s="998"/>
      <c r="F111" s="149">
        <f t="shared" si="47"/>
        <v>0</v>
      </c>
      <c r="G111" s="997" t="s">
        <v>291</v>
      </c>
      <c r="H111" s="1394"/>
      <c r="I111" s="974">
        <v>500</v>
      </c>
      <c r="J111" s="999" t="s">
        <v>291</v>
      </c>
      <c r="K111" s="999" t="s">
        <v>291</v>
      </c>
      <c r="L111" s="998"/>
      <c r="M111" s="149">
        <f t="shared" si="48"/>
        <v>0</v>
      </c>
      <c r="N111" s="999" t="s">
        <v>291</v>
      </c>
      <c r="O111" s="1394"/>
      <c r="P111" s="974">
        <v>500</v>
      </c>
      <c r="Q111" s="999" t="s">
        <v>291</v>
      </c>
      <c r="R111" s="999" t="s">
        <v>291</v>
      </c>
      <c r="S111" s="998"/>
      <c r="T111" s="149">
        <f t="shared" si="49"/>
        <v>0</v>
      </c>
      <c r="U111" s="999" t="s">
        <v>291</v>
      </c>
    </row>
    <row r="112" spans="1:21" x14ac:dyDescent="0.2">
      <c r="A112" s="1392"/>
      <c r="B112" s="974">
        <v>1000</v>
      </c>
      <c r="C112" s="999" t="s">
        <v>291</v>
      </c>
      <c r="D112" s="999" t="s">
        <v>291</v>
      </c>
      <c r="E112" s="998"/>
      <c r="F112" s="149">
        <f t="shared" si="47"/>
        <v>0</v>
      </c>
      <c r="G112" s="997" t="s">
        <v>291</v>
      </c>
      <c r="H112" s="1394"/>
      <c r="I112" s="974">
        <v>1000</v>
      </c>
      <c r="J112" s="999" t="s">
        <v>291</v>
      </c>
      <c r="K112" s="999" t="s">
        <v>291</v>
      </c>
      <c r="L112" s="998"/>
      <c r="M112" s="149">
        <f t="shared" si="48"/>
        <v>0</v>
      </c>
      <c r="N112" s="999" t="s">
        <v>291</v>
      </c>
      <c r="O112" s="1394"/>
      <c r="P112" s="974">
        <v>1000</v>
      </c>
      <c r="Q112" s="999" t="s">
        <v>291</v>
      </c>
      <c r="R112" s="999" t="s">
        <v>291</v>
      </c>
      <c r="S112" s="998"/>
      <c r="T112" s="149">
        <f t="shared" si="49"/>
        <v>0</v>
      </c>
      <c r="U112" s="999" t="s">
        <v>291</v>
      </c>
    </row>
    <row r="113" spans="1:21" x14ac:dyDescent="0.2">
      <c r="A113" s="1392"/>
      <c r="B113" s="1391" t="s">
        <v>356</v>
      </c>
      <c r="C113" s="1391"/>
      <c r="D113" s="1391"/>
      <c r="E113" s="1391"/>
      <c r="F113" s="1384" t="s">
        <v>352</v>
      </c>
      <c r="G113" s="1384" t="s">
        <v>284</v>
      </c>
      <c r="H113" s="1394"/>
      <c r="I113" s="1391" t="s">
        <v>356</v>
      </c>
      <c r="J113" s="1391"/>
      <c r="K113" s="1391"/>
      <c r="L113" s="1391"/>
      <c r="M113" s="1384" t="s">
        <v>352</v>
      </c>
      <c r="N113" s="1384" t="s">
        <v>284</v>
      </c>
      <c r="O113" s="1394"/>
      <c r="P113" s="1391" t="str">
        <f>B113</f>
        <v>Main-PE</v>
      </c>
      <c r="Q113" s="1391"/>
      <c r="R113" s="1391"/>
      <c r="S113" s="1391"/>
      <c r="T113" s="1384" t="s">
        <v>352</v>
      </c>
      <c r="U113" s="1384" t="s">
        <v>284</v>
      </c>
    </row>
    <row r="114" spans="1:21" ht="15" x14ac:dyDescent="0.2">
      <c r="A114" s="1392"/>
      <c r="B114" s="968" t="s">
        <v>564</v>
      </c>
      <c r="C114" s="970" t="str">
        <f>C98</f>
        <v>-</v>
      </c>
      <c r="D114" s="970" t="str">
        <f>D98</f>
        <v>-</v>
      </c>
      <c r="E114" s="970" t="str">
        <f>E98</f>
        <v>-</v>
      </c>
      <c r="F114" s="1384"/>
      <c r="G114" s="1384"/>
      <c r="H114" s="1394"/>
      <c r="I114" s="968" t="s">
        <v>564</v>
      </c>
      <c r="J114" s="970" t="str">
        <f>J98</f>
        <v>-</v>
      </c>
      <c r="K114" s="970" t="str">
        <f>K98</f>
        <v>-</v>
      </c>
      <c r="L114" s="970" t="str">
        <f>L98</f>
        <v>-</v>
      </c>
      <c r="M114" s="1384"/>
      <c r="N114" s="1384"/>
      <c r="O114" s="1394"/>
      <c r="P114" s="968" t="s">
        <v>564</v>
      </c>
      <c r="Q114" s="970" t="str">
        <f>Q98</f>
        <v>-</v>
      </c>
      <c r="R114" s="970" t="str">
        <f>R98</f>
        <v>-</v>
      </c>
      <c r="S114" s="970" t="str">
        <f>S98</f>
        <v>-</v>
      </c>
      <c r="T114" s="1384"/>
      <c r="U114" s="1384"/>
    </row>
    <row r="115" spans="1:21" x14ac:dyDescent="0.2">
      <c r="A115" s="1392"/>
      <c r="B115" s="974">
        <v>10</v>
      </c>
      <c r="C115" s="999" t="s">
        <v>291</v>
      </c>
      <c r="D115" s="999" t="s">
        <v>291</v>
      </c>
      <c r="E115" s="998"/>
      <c r="F115" s="149">
        <f>0.5*(MAX(C115:E115)-MIN(C115:E115))</f>
        <v>0</v>
      </c>
      <c r="G115" s="999" t="s">
        <v>291</v>
      </c>
      <c r="H115" s="1394"/>
      <c r="I115" s="974">
        <v>10</v>
      </c>
      <c r="J115" s="999" t="s">
        <v>291</v>
      </c>
      <c r="K115" s="999" t="s">
        <v>291</v>
      </c>
      <c r="L115" s="998"/>
      <c r="M115" s="149">
        <f>0.5*(MAX(J115:L115)-MIN(J115:L115))</f>
        <v>0</v>
      </c>
      <c r="N115" s="999" t="s">
        <v>291</v>
      </c>
      <c r="O115" s="1394"/>
      <c r="P115" s="974">
        <v>10</v>
      </c>
      <c r="Q115" s="999" t="s">
        <v>291</v>
      </c>
      <c r="R115" s="999" t="s">
        <v>291</v>
      </c>
      <c r="S115" s="998"/>
      <c r="T115" s="149">
        <f>0.5*(MAX(Q115:S115)-MIN(Q115:S115))</f>
        <v>0</v>
      </c>
      <c r="U115" s="999" t="s">
        <v>291</v>
      </c>
    </row>
    <row r="116" spans="1:21" x14ac:dyDescent="0.2">
      <c r="A116" s="1392"/>
      <c r="B116" s="974">
        <v>20</v>
      </c>
      <c r="C116" s="999" t="s">
        <v>291</v>
      </c>
      <c r="D116" s="999" t="s">
        <v>291</v>
      </c>
      <c r="E116" s="998"/>
      <c r="F116" s="149">
        <f t="shared" ref="F116:F118" si="50">0.5*(MAX(C116:E116)-MIN(C116:E116))</f>
        <v>0</v>
      </c>
      <c r="G116" s="999" t="s">
        <v>291</v>
      </c>
      <c r="H116" s="1394"/>
      <c r="I116" s="974">
        <v>20</v>
      </c>
      <c r="J116" s="999" t="s">
        <v>291</v>
      </c>
      <c r="K116" s="999" t="s">
        <v>291</v>
      </c>
      <c r="L116" s="998"/>
      <c r="M116" s="149">
        <f t="shared" ref="M116:M118" si="51">0.5*(MAX(J116:L116)-MIN(J116:L116))</f>
        <v>0</v>
      </c>
      <c r="N116" s="999" t="s">
        <v>291</v>
      </c>
      <c r="O116" s="1394"/>
      <c r="P116" s="974">
        <v>20</v>
      </c>
      <c r="Q116" s="999" t="s">
        <v>291</v>
      </c>
      <c r="R116" s="999" t="s">
        <v>291</v>
      </c>
      <c r="S116" s="998"/>
      <c r="T116" s="149">
        <f t="shared" ref="T116:T118" si="52">0.5*(MAX(Q116:S116)-MIN(Q116:S116))</f>
        <v>0</v>
      </c>
      <c r="U116" s="999" t="s">
        <v>291</v>
      </c>
    </row>
    <row r="117" spans="1:21" x14ac:dyDescent="0.2">
      <c r="A117" s="1392"/>
      <c r="B117" s="974">
        <v>50</v>
      </c>
      <c r="C117" s="999" t="s">
        <v>291</v>
      </c>
      <c r="D117" s="999" t="s">
        <v>291</v>
      </c>
      <c r="E117" s="998"/>
      <c r="F117" s="149">
        <f t="shared" si="50"/>
        <v>0</v>
      </c>
      <c r="G117" s="999" t="s">
        <v>291</v>
      </c>
      <c r="H117" s="1394"/>
      <c r="I117" s="974">
        <v>50</v>
      </c>
      <c r="J117" s="999" t="s">
        <v>291</v>
      </c>
      <c r="K117" s="999" t="s">
        <v>291</v>
      </c>
      <c r="L117" s="998"/>
      <c r="M117" s="149">
        <f t="shared" si="51"/>
        <v>0</v>
      </c>
      <c r="N117" s="999" t="s">
        <v>291</v>
      </c>
      <c r="O117" s="1394"/>
      <c r="P117" s="974">
        <v>50</v>
      </c>
      <c r="Q117" s="999" t="s">
        <v>291</v>
      </c>
      <c r="R117" s="999" t="s">
        <v>291</v>
      </c>
      <c r="S117" s="998"/>
      <c r="T117" s="149">
        <f t="shared" si="52"/>
        <v>0</v>
      </c>
      <c r="U117" s="999" t="s">
        <v>291</v>
      </c>
    </row>
    <row r="118" spans="1:21" x14ac:dyDescent="0.2">
      <c r="A118" s="1392"/>
      <c r="B118" s="974">
        <v>100</v>
      </c>
      <c r="C118" s="999" t="s">
        <v>291</v>
      </c>
      <c r="D118" s="999" t="s">
        <v>291</v>
      </c>
      <c r="E118" s="998"/>
      <c r="F118" s="149">
        <f t="shared" si="50"/>
        <v>0</v>
      </c>
      <c r="G118" s="999" t="s">
        <v>291</v>
      </c>
      <c r="H118" s="1394"/>
      <c r="I118" s="974">
        <v>100</v>
      </c>
      <c r="J118" s="999" t="s">
        <v>291</v>
      </c>
      <c r="K118" s="999" t="s">
        <v>291</v>
      </c>
      <c r="L118" s="998"/>
      <c r="M118" s="149">
        <f t="shared" si="51"/>
        <v>0</v>
      </c>
      <c r="N118" s="999" t="s">
        <v>291</v>
      </c>
      <c r="O118" s="1394"/>
      <c r="P118" s="974">
        <v>100</v>
      </c>
      <c r="Q118" s="999" t="s">
        <v>291</v>
      </c>
      <c r="R118" s="999" t="s">
        <v>291</v>
      </c>
      <c r="S118" s="998"/>
      <c r="T118" s="149">
        <f t="shared" si="52"/>
        <v>0</v>
      </c>
      <c r="U118" s="999" t="s">
        <v>291</v>
      </c>
    </row>
    <row r="119" spans="1:21" ht="13.15" customHeight="1" x14ac:dyDescent="0.2">
      <c r="A119" s="1392"/>
      <c r="B119" s="1391" t="s">
        <v>357</v>
      </c>
      <c r="C119" s="1391"/>
      <c r="D119" s="1391"/>
      <c r="E119" s="1391"/>
      <c r="F119" s="1384" t="s">
        <v>352</v>
      </c>
      <c r="G119" s="1384" t="s">
        <v>284</v>
      </c>
      <c r="H119" s="1394"/>
      <c r="I119" s="1391" t="s">
        <v>357</v>
      </c>
      <c r="J119" s="1391"/>
      <c r="K119" s="1391"/>
      <c r="L119" s="1391"/>
      <c r="M119" s="1384" t="s">
        <v>352</v>
      </c>
      <c r="N119" s="1384" t="s">
        <v>284</v>
      </c>
      <c r="O119" s="1394"/>
      <c r="P119" s="1391" t="str">
        <f>B119</f>
        <v>Resistance</v>
      </c>
      <c r="Q119" s="1391"/>
      <c r="R119" s="1391"/>
      <c r="S119" s="1391"/>
      <c r="T119" s="1384" t="s">
        <v>352</v>
      </c>
      <c r="U119" s="1384" t="s">
        <v>284</v>
      </c>
    </row>
    <row r="120" spans="1:21" ht="15" x14ac:dyDescent="0.2">
      <c r="A120" s="1392"/>
      <c r="B120" s="968" t="s">
        <v>565</v>
      </c>
      <c r="C120" s="970" t="str">
        <f>C98</f>
        <v>-</v>
      </c>
      <c r="D120" s="970" t="str">
        <f>D98</f>
        <v>-</v>
      </c>
      <c r="E120" s="970" t="str">
        <f>E98</f>
        <v>-</v>
      </c>
      <c r="F120" s="1384"/>
      <c r="G120" s="1384"/>
      <c r="H120" s="1394"/>
      <c r="I120" s="968" t="s">
        <v>565</v>
      </c>
      <c r="J120" s="970" t="str">
        <f>J98</f>
        <v>-</v>
      </c>
      <c r="K120" s="970" t="str">
        <f>K98</f>
        <v>-</v>
      </c>
      <c r="L120" s="970" t="str">
        <f>L98</f>
        <v>-</v>
      </c>
      <c r="M120" s="1384"/>
      <c r="N120" s="1384"/>
      <c r="O120" s="1394"/>
      <c r="P120" s="968" t="s">
        <v>565</v>
      </c>
      <c r="Q120" s="970" t="str">
        <f>Q98</f>
        <v>-</v>
      </c>
      <c r="R120" s="970" t="str">
        <f>R98</f>
        <v>-</v>
      </c>
      <c r="S120" s="970" t="str">
        <f>S98</f>
        <v>-</v>
      </c>
      <c r="T120" s="1384"/>
      <c r="U120" s="1384"/>
    </row>
    <row r="121" spans="1:21" x14ac:dyDescent="0.2">
      <c r="A121" s="1392"/>
      <c r="B121" s="974">
        <v>0</v>
      </c>
      <c r="C121" s="999" t="s">
        <v>291</v>
      </c>
      <c r="D121" s="999" t="s">
        <v>291</v>
      </c>
      <c r="E121" s="998"/>
      <c r="F121" s="149">
        <f>0.5*(MAX(C121:E121)-MIN(C121:E121))</f>
        <v>0</v>
      </c>
      <c r="G121" s="999" t="s">
        <v>291</v>
      </c>
      <c r="H121" s="1394"/>
      <c r="I121" s="974">
        <v>0.01</v>
      </c>
      <c r="J121" s="999" t="s">
        <v>291</v>
      </c>
      <c r="K121" s="999" t="s">
        <v>291</v>
      </c>
      <c r="L121" s="998"/>
      <c r="M121" s="149">
        <f>0.5*(MAX(J121:L121)-MIN(J121:L121))</f>
        <v>0</v>
      </c>
      <c r="N121" s="999" t="s">
        <v>291</v>
      </c>
      <c r="O121" s="1394"/>
      <c r="P121" s="974">
        <v>0.01</v>
      </c>
      <c r="Q121" s="999" t="s">
        <v>291</v>
      </c>
      <c r="R121" s="999" t="s">
        <v>291</v>
      </c>
      <c r="S121" s="998"/>
      <c r="T121" s="149">
        <f>0.5*(MAX(Q121:S121)-MIN(Q121:S121))</f>
        <v>0</v>
      </c>
      <c r="U121" s="999" t="s">
        <v>291</v>
      </c>
    </row>
    <row r="122" spans="1:21" x14ac:dyDescent="0.2">
      <c r="A122" s="1392"/>
      <c r="B122" s="974">
        <v>0.1</v>
      </c>
      <c r="C122" s="999" t="s">
        <v>291</v>
      </c>
      <c r="D122" s="999" t="s">
        <v>291</v>
      </c>
      <c r="E122" s="998"/>
      <c r="F122" s="149">
        <f t="shared" ref="F122:F124" si="53">0.5*(MAX(C122:E122)-MIN(C122:E122))</f>
        <v>0</v>
      </c>
      <c r="G122" s="999" t="s">
        <v>291</v>
      </c>
      <c r="H122" s="1394"/>
      <c r="I122" s="974">
        <v>0.1</v>
      </c>
      <c r="J122" s="999" t="s">
        <v>291</v>
      </c>
      <c r="K122" s="999" t="s">
        <v>291</v>
      </c>
      <c r="L122" s="998"/>
      <c r="M122" s="149">
        <f t="shared" ref="M122:M124" si="54">0.5*(MAX(J122:L122)-MIN(J122:L122))</f>
        <v>0</v>
      </c>
      <c r="N122" s="999" t="s">
        <v>291</v>
      </c>
      <c r="O122" s="1394"/>
      <c r="P122" s="974">
        <v>0.1</v>
      </c>
      <c r="Q122" s="999" t="s">
        <v>291</v>
      </c>
      <c r="R122" s="999" t="s">
        <v>291</v>
      </c>
      <c r="S122" s="998"/>
      <c r="T122" s="149">
        <f t="shared" ref="T122:T124" si="55">0.5*(MAX(Q122:S122)-MIN(Q122:S122))</f>
        <v>0</v>
      </c>
      <c r="U122" s="999" t="s">
        <v>291</v>
      </c>
    </row>
    <row r="123" spans="1:21" x14ac:dyDescent="0.2">
      <c r="A123" s="1392"/>
      <c r="B123" s="974">
        <v>1</v>
      </c>
      <c r="C123" s="999" t="s">
        <v>291</v>
      </c>
      <c r="D123" s="999" t="s">
        <v>291</v>
      </c>
      <c r="E123" s="998"/>
      <c r="F123" s="149">
        <f t="shared" si="53"/>
        <v>0</v>
      </c>
      <c r="G123" s="999" t="s">
        <v>291</v>
      </c>
      <c r="H123" s="1394"/>
      <c r="I123" s="974">
        <v>1</v>
      </c>
      <c r="J123" s="999" t="s">
        <v>291</v>
      </c>
      <c r="K123" s="999" t="s">
        <v>291</v>
      </c>
      <c r="L123" s="998"/>
      <c r="M123" s="149">
        <f t="shared" si="54"/>
        <v>0</v>
      </c>
      <c r="N123" s="999" t="s">
        <v>291</v>
      </c>
      <c r="O123" s="1394"/>
      <c r="P123" s="974">
        <v>1</v>
      </c>
      <c r="Q123" s="999" t="s">
        <v>291</v>
      </c>
      <c r="R123" s="999" t="s">
        <v>291</v>
      </c>
      <c r="S123" s="998"/>
      <c r="T123" s="149">
        <f t="shared" si="55"/>
        <v>0</v>
      </c>
      <c r="U123" s="999" t="s">
        <v>291</v>
      </c>
    </row>
    <row r="124" spans="1:21" x14ac:dyDescent="0.2">
      <c r="A124" s="1392"/>
      <c r="B124" s="974">
        <v>2</v>
      </c>
      <c r="C124" s="999" t="s">
        <v>291</v>
      </c>
      <c r="D124" s="999" t="s">
        <v>291</v>
      </c>
      <c r="E124" s="998"/>
      <c r="F124" s="149">
        <f t="shared" si="53"/>
        <v>0</v>
      </c>
      <c r="G124" s="999" t="s">
        <v>291</v>
      </c>
      <c r="H124" s="1394"/>
      <c r="I124" s="974">
        <v>2</v>
      </c>
      <c r="J124" s="999" t="s">
        <v>291</v>
      </c>
      <c r="K124" s="999" t="s">
        <v>291</v>
      </c>
      <c r="L124" s="998"/>
      <c r="M124" s="149">
        <f t="shared" si="54"/>
        <v>0</v>
      </c>
      <c r="N124" s="999" t="s">
        <v>291</v>
      </c>
      <c r="O124" s="1394"/>
      <c r="P124" s="974">
        <v>2</v>
      </c>
      <c r="Q124" s="999" t="s">
        <v>291</v>
      </c>
      <c r="R124" s="999" t="s">
        <v>291</v>
      </c>
      <c r="S124" s="998"/>
      <c r="T124" s="149">
        <f t="shared" si="55"/>
        <v>0</v>
      </c>
      <c r="U124" s="999" t="s">
        <v>291</v>
      </c>
    </row>
    <row r="125" spans="1:21" ht="15.75" x14ac:dyDescent="0.2">
      <c r="A125" s="1385"/>
      <c r="B125" s="1386"/>
      <c r="C125" s="1386"/>
      <c r="D125" s="1386"/>
      <c r="E125" s="1386"/>
      <c r="F125" s="1386"/>
      <c r="G125" s="1386"/>
      <c r="H125" s="1386"/>
      <c r="I125" s="1386"/>
      <c r="J125" s="1386"/>
      <c r="K125" s="1386"/>
      <c r="L125" s="1386"/>
      <c r="M125" s="1386"/>
      <c r="N125" s="1386"/>
      <c r="O125" s="1386"/>
      <c r="P125" s="1386"/>
      <c r="Q125" s="1386"/>
      <c r="R125" s="1386"/>
      <c r="S125" s="1386"/>
      <c r="T125" s="1386"/>
      <c r="U125" s="1386"/>
    </row>
    <row r="126" spans="1:21" ht="15.75" x14ac:dyDescent="0.2">
      <c r="A126" s="1385"/>
      <c r="B126" s="1386"/>
      <c r="C126" s="1386"/>
      <c r="D126" s="1386"/>
      <c r="E126" s="1386"/>
      <c r="F126" s="1386"/>
      <c r="G126" s="1386"/>
      <c r="H126" s="1386"/>
      <c r="I126" s="1386"/>
      <c r="J126" s="1386"/>
      <c r="K126" s="1386"/>
      <c r="L126" s="1386"/>
      <c r="M126" s="1386"/>
      <c r="N126" s="1386"/>
      <c r="O126" s="1386"/>
      <c r="P126" s="1386"/>
      <c r="Q126" s="1386"/>
      <c r="R126" s="1386"/>
      <c r="S126" s="1386"/>
      <c r="T126" s="1386"/>
      <c r="U126" s="1386"/>
    </row>
    <row r="127" spans="1:21" x14ac:dyDescent="0.2">
      <c r="A127" s="1000"/>
      <c r="B127" s="989"/>
      <c r="C127" s="989"/>
    </row>
    <row r="128" spans="1:21" ht="14.25" x14ac:dyDescent="0.2">
      <c r="A128" s="1379" t="s">
        <v>369</v>
      </c>
      <c r="B128" s="1380"/>
      <c r="C128" s="1381" t="s">
        <v>350</v>
      </c>
      <c r="D128" s="1381"/>
      <c r="E128" s="1381"/>
      <c r="F128" s="1381"/>
      <c r="G128" s="1381"/>
      <c r="H128" s="1381"/>
      <c r="J128" s="1379" t="str">
        <f>A128</f>
        <v>No. Urut</v>
      </c>
      <c r="K128" s="1380"/>
      <c r="L128" s="1387" t="s">
        <v>350</v>
      </c>
      <c r="M128" s="1388"/>
      <c r="N128" s="1388"/>
      <c r="O128" s="1389"/>
      <c r="P128" s="1002"/>
      <c r="Q128" s="1002"/>
    </row>
    <row r="129" spans="1:17" ht="13.15" customHeight="1" x14ac:dyDescent="0.2">
      <c r="A129" s="1379"/>
      <c r="B129" s="1380"/>
      <c r="C129" s="1390" t="str">
        <f>B4</f>
        <v>Setting VAC</v>
      </c>
      <c r="D129" s="1390"/>
      <c r="E129" s="1390"/>
      <c r="F129" s="1390"/>
      <c r="G129" s="1001" t="s">
        <v>352</v>
      </c>
      <c r="H129" s="1001" t="s">
        <v>284</v>
      </c>
      <c r="J129" s="1379"/>
      <c r="K129" s="1380"/>
      <c r="L129" s="1371" t="str">
        <f>B12</f>
        <v>Current Leakage</v>
      </c>
      <c r="M129" s="1371"/>
      <c r="N129" s="1371"/>
      <c r="O129" s="1371"/>
      <c r="P129" s="1001" t="s">
        <v>352</v>
      </c>
      <c r="Q129" s="1001" t="s">
        <v>284</v>
      </c>
    </row>
    <row r="130" spans="1:17" ht="14.25" x14ac:dyDescent="0.2">
      <c r="A130" s="1379"/>
      <c r="B130" s="1380"/>
      <c r="C130" s="1003" t="s">
        <v>353</v>
      </c>
      <c r="D130" s="1001"/>
      <c r="E130" s="1001"/>
      <c r="F130" s="998"/>
      <c r="G130" s="1001"/>
      <c r="H130" s="1001"/>
      <c r="J130" s="1379"/>
      <c r="K130" s="1380"/>
      <c r="L130" s="1003" t="s">
        <v>355</v>
      </c>
      <c r="M130" s="1001"/>
      <c r="N130" s="1001"/>
      <c r="O130" s="998"/>
      <c r="P130" s="1001"/>
      <c r="Q130" s="1001"/>
    </row>
    <row r="131" spans="1:17" ht="15" x14ac:dyDescent="0.2">
      <c r="A131" s="1383" t="s">
        <v>51</v>
      </c>
      <c r="B131" s="1005">
        <v>1</v>
      </c>
      <c r="C131" s="1006">
        <f t="shared" ref="C131:H131" si="56">B6</f>
        <v>150</v>
      </c>
      <c r="D131" s="1006">
        <f t="shared" si="56"/>
        <v>0.31</v>
      </c>
      <c r="E131" s="1006">
        <f t="shared" si="56"/>
        <v>0.76</v>
      </c>
      <c r="F131" s="1006" t="str">
        <f t="shared" si="56"/>
        <v>-</v>
      </c>
      <c r="G131" s="1006">
        <f t="shared" si="56"/>
        <v>0.22500000000000001</v>
      </c>
      <c r="H131" s="1006">
        <f t="shared" si="56"/>
        <v>1.8</v>
      </c>
      <c r="J131" s="1383" t="s">
        <v>51</v>
      </c>
      <c r="K131" s="1005">
        <v>1</v>
      </c>
      <c r="L131" s="1006">
        <f t="shared" ref="L131:Q131" si="57">B14</f>
        <v>0</v>
      </c>
      <c r="M131" s="1006">
        <f t="shared" si="57"/>
        <v>9.9999999999999995E-7</v>
      </c>
      <c r="N131" s="1006">
        <f t="shared" si="57"/>
        <v>9.9999999999999995E-7</v>
      </c>
      <c r="O131" s="1006" t="str">
        <f t="shared" si="57"/>
        <v>-</v>
      </c>
      <c r="P131" s="1006">
        <f t="shared" si="57"/>
        <v>0</v>
      </c>
      <c r="Q131" s="1006">
        <f t="shared" si="57"/>
        <v>0.3</v>
      </c>
    </row>
    <row r="132" spans="1:17" ht="15" x14ac:dyDescent="0.2">
      <c r="A132" s="1383"/>
      <c r="B132" s="1005">
        <v>2</v>
      </c>
      <c r="C132" s="1006">
        <f t="shared" ref="C132:H132" si="58">I6</f>
        <v>150</v>
      </c>
      <c r="D132" s="1006">
        <f t="shared" si="58"/>
        <v>0.15</v>
      </c>
      <c r="E132" s="1006">
        <f t="shared" si="58"/>
        <v>0.23</v>
      </c>
      <c r="F132" s="1006" t="str">
        <f t="shared" si="58"/>
        <v>-</v>
      </c>
      <c r="G132" s="1006">
        <f t="shared" si="58"/>
        <v>4.0000000000000008E-2</v>
      </c>
      <c r="H132" s="1006">
        <f t="shared" si="58"/>
        <v>1.8</v>
      </c>
      <c r="J132" s="1383"/>
      <c r="K132" s="1005">
        <v>2</v>
      </c>
      <c r="L132" s="1006">
        <f t="shared" ref="L132:Q132" si="59">I14</f>
        <v>0</v>
      </c>
      <c r="M132" s="1006">
        <f t="shared" si="59"/>
        <v>9.9999999999999995E-7</v>
      </c>
      <c r="N132" s="1006">
        <f t="shared" si="59"/>
        <v>9.9999999999999995E-7</v>
      </c>
      <c r="O132" s="1006" t="str">
        <f t="shared" si="59"/>
        <v>-</v>
      </c>
      <c r="P132" s="1006">
        <f t="shared" si="59"/>
        <v>0</v>
      </c>
      <c r="Q132" s="1006">
        <f t="shared" si="59"/>
        <v>0.3</v>
      </c>
    </row>
    <row r="133" spans="1:17" x14ac:dyDescent="0.2">
      <c r="A133" s="1383"/>
      <c r="B133" s="1004">
        <v>3</v>
      </c>
      <c r="C133" s="1006">
        <f t="shared" ref="C133:H133" si="60">P6</f>
        <v>150</v>
      </c>
      <c r="D133" s="1006">
        <f t="shared" si="60"/>
        <v>-1.43</v>
      </c>
      <c r="E133" s="1006">
        <f t="shared" si="60"/>
        <v>-1.6</v>
      </c>
      <c r="F133" s="1006">
        <f t="shared" si="60"/>
        <v>-7.0000000000000007E-2</v>
      </c>
      <c r="G133" s="1006">
        <f t="shared" si="60"/>
        <v>0.76500000000000001</v>
      </c>
      <c r="H133" s="1006">
        <f t="shared" si="60"/>
        <v>1.8</v>
      </c>
      <c r="J133" s="1383"/>
      <c r="K133" s="1004">
        <v>3</v>
      </c>
      <c r="L133" s="1006">
        <f t="shared" ref="L133:Q133" si="61">P14</f>
        <v>9.9999999999999995E-7</v>
      </c>
      <c r="M133" s="1006">
        <f t="shared" si="61"/>
        <v>9.9999999999999995E-7</v>
      </c>
      <c r="N133" s="1006">
        <f t="shared" si="61"/>
        <v>9.9999999999999995E-7</v>
      </c>
      <c r="O133" s="1006">
        <f t="shared" si="61"/>
        <v>9.9999999999999995E-7</v>
      </c>
      <c r="P133" s="1006">
        <f t="shared" si="61"/>
        <v>0</v>
      </c>
      <c r="Q133" s="1006">
        <f t="shared" si="61"/>
        <v>5.8999999999999999E-9</v>
      </c>
    </row>
    <row r="134" spans="1:17" x14ac:dyDescent="0.2">
      <c r="A134" s="1383"/>
      <c r="B134" s="1004">
        <v>4</v>
      </c>
      <c r="C134" s="1006">
        <f t="shared" ref="C134:H134" si="62">B37</f>
        <v>150</v>
      </c>
      <c r="D134" s="1006">
        <f t="shared" si="62"/>
        <v>-0.05</v>
      </c>
      <c r="E134" s="1006">
        <f t="shared" si="62"/>
        <v>0.11</v>
      </c>
      <c r="F134" s="1006">
        <f t="shared" si="62"/>
        <v>0</v>
      </c>
      <c r="G134" s="1006">
        <f t="shared" si="62"/>
        <v>0.08</v>
      </c>
      <c r="H134" s="1006">
        <f t="shared" si="62"/>
        <v>1.8</v>
      </c>
      <c r="J134" s="1383"/>
      <c r="K134" s="1004">
        <v>4</v>
      </c>
      <c r="L134" s="1006">
        <f t="shared" ref="L134:Q134" si="63">B45</f>
        <v>0</v>
      </c>
      <c r="M134" s="1006">
        <f t="shared" si="63"/>
        <v>9.9999999999999995E-7</v>
      </c>
      <c r="N134" s="1006">
        <f t="shared" si="63"/>
        <v>9.9999999999999995E-7</v>
      </c>
      <c r="O134" s="1006">
        <f t="shared" si="63"/>
        <v>0</v>
      </c>
      <c r="P134" s="1006">
        <f t="shared" si="63"/>
        <v>0</v>
      </c>
      <c r="Q134" s="1006">
        <f t="shared" si="63"/>
        <v>0.3</v>
      </c>
    </row>
    <row r="135" spans="1:17" x14ac:dyDescent="0.2">
      <c r="A135" s="1383"/>
      <c r="B135" s="1004">
        <v>5</v>
      </c>
      <c r="C135" s="1006">
        <f t="shared" ref="C135:H135" si="64">I37</f>
        <v>150</v>
      </c>
      <c r="D135" s="1006">
        <f t="shared" si="64"/>
        <v>0.25</v>
      </c>
      <c r="E135" s="1006">
        <f t="shared" si="64"/>
        <v>0.02</v>
      </c>
      <c r="F135" s="1006">
        <f t="shared" si="64"/>
        <v>0</v>
      </c>
      <c r="G135" s="1006">
        <f t="shared" si="64"/>
        <v>0.115</v>
      </c>
      <c r="H135" s="1006">
        <f t="shared" si="64"/>
        <v>1.8</v>
      </c>
      <c r="J135" s="1383"/>
      <c r="K135" s="1004">
        <v>5</v>
      </c>
      <c r="L135" s="1006">
        <f t="shared" ref="L135:Q135" si="65">I45</f>
        <v>0</v>
      </c>
      <c r="M135" s="1006">
        <f t="shared" si="65"/>
        <v>9.9999999999999995E-7</v>
      </c>
      <c r="N135" s="1006">
        <f t="shared" si="65"/>
        <v>9.9999999999999995E-7</v>
      </c>
      <c r="O135" s="1006">
        <f t="shared" si="65"/>
        <v>0</v>
      </c>
      <c r="P135" s="1006">
        <f t="shared" si="65"/>
        <v>0</v>
      </c>
      <c r="Q135" s="1006">
        <f t="shared" si="65"/>
        <v>0</v>
      </c>
    </row>
    <row r="136" spans="1:17" x14ac:dyDescent="0.2">
      <c r="A136" s="1383"/>
      <c r="B136" s="1004">
        <v>6</v>
      </c>
      <c r="C136" s="1006">
        <f t="shared" ref="C136:H136" si="66">P37</f>
        <v>150</v>
      </c>
      <c r="D136" s="1006">
        <f t="shared" si="66"/>
        <v>-0.15</v>
      </c>
      <c r="E136" s="1006">
        <f t="shared" si="66"/>
        <v>0.03</v>
      </c>
      <c r="F136" s="1006">
        <f t="shared" si="66"/>
        <v>0</v>
      </c>
      <c r="G136" s="1006">
        <f t="shared" si="66"/>
        <v>0.09</v>
      </c>
      <c r="H136" s="1006">
        <f t="shared" si="66"/>
        <v>1.8</v>
      </c>
      <c r="J136" s="1383"/>
      <c r="K136" s="1004">
        <v>6</v>
      </c>
      <c r="L136" s="1006">
        <f t="shared" ref="L136:Q136" si="67">P45</f>
        <v>0</v>
      </c>
      <c r="M136" s="1006">
        <f t="shared" si="67"/>
        <v>9.9999999999999995E-7</v>
      </c>
      <c r="N136" s="1006">
        <f t="shared" si="67"/>
        <v>9.9999999999999995E-7</v>
      </c>
      <c r="O136" s="1006">
        <f t="shared" si="67"/>
        <v>0</v>
      </c>
      <c r="P136" s="1006">
        <f t="shared" si="67"/>
        <v>0</v>
      </c>
      <c r="Q136" s="1006">
        <f t="shared" si="67"/>
        <v>0.28999999999999998</v>
      </c>
    </row>
    <row r="137" spans="1:17" x14ac:dyDescent="0.2">
      <c r="A137" s="1383"/>
      <c r="B137" s="1004">
        <v>7</v>
      </c>
      <c r="C137" s="1006">
        <f t="shared" ref="C137:H137" si="68">B68</f>
        <v>150.21</v>
      </c>
      <c r="D137" s="1006">
        <f t="shared" si="68"/>
        <v>0.21</v>
      </c>
      <c r="E137" s="1006">
        <f t="shared" si="68"/>
        <v>0.27</v>
      </c>
      <c r="F137" s="1006">
        <f t="shared" si="68"/>
        <v>0</v>
      </c>
      <c r="G137" s="1006">
        <f t="shared" si="68"/>
        <v>3.0000000000000013E-2</v>
      </c>
      <c r="H137" s="1006">
        <f t="shared" si="68"/>
        <v>1.8025200000000001</v>
      </c>
      <c r="J137" s="1383"/>
      <c r="K137" s="1004">
        <v>7</v>
      </c>
      <c r="L137" s="1006">
        <f t="shared" ref="L137:Q137" si="69">B76</f>
        <v>0</v>
      </c>
      <c r="M137" s="1006">
        <f t="shared" si="69"/>
        <v>9.9999999999999995E-7</v>
      </c>
      <c r="N137" s="1006">
        <f t="shared" si="69"/>
        <v>9.9999999999999995E-7</v>
      </c>
      <c r="O137" s="1006">
        <f t="shared" si="69"/>
        <v>0</v>
      </c>
      <c r="P137" s="1006">
        <f t="shared" si="69"/>
        <v>0</v>
      </c>
      <c r="Q137" s="1006">
        <f t="shared" si="69"/>
        <v>0.3</v>
      </c>
    </row>
    <row r="138" spans="1:17" x14ac:dyDescent="0.2">
      <c r="A138" s="1383"/>
      <c r="B138" s="1004">
        <v>8</v>
      </c>
      <c r="C138" s="1006">
        <f t="shared" ref="C138:H138" si="70">I68</f>
        <v>150</v>
      </c>
      <c r="D138" s="1006">
        <f t="shared" si="70"/>
        <v>-0.17</v>
      </c>
      <c r="E138" s="1006">
        <f t="shared" si="70"/>
        <v>-0.24</v>
      </c>
      <c r="F138" s="1006">
        <f t="shared" si="70"/>
        <v>0</v>
      </c>
      <c r="G138" s="1006">
        <f t="shared" si="70"/>
        <v>3.4999999999999989E-2</v>
      </c>
      <c r="H138" s="1006">
        <f t="shared" si="70"/>
        <v>1.8</v>
      </c>
      <c r="J138" s="1383"/>
      <c r="K138" s="1004">
        <v>8</v>
      </c>
      <c r="L138" s="1006">
        <f t="shared" ref="L138:Q138" si="71">I76</f>
        <v>0</v>
      </c>
      <c r="M138" s="1006">
        <f t="shared" si="71"/>
        <v>9.9999999999999995E-7</v>
      </c>
      <c r="N138" s="1006">
        <f t="shared" si="71"/>
        <v>9.9999999999999995E-7</v>
      </c>
      <c r="O138" s="1006">
        <f t="shared" si="71"/>
        <v>0</v>
      </c>
      <c r="P138" s="1006">
        <f t="shared" si="71"/>
        <v>0</v>
      </c>
      <c r="Q138" s="1006">
        <f t="shared" si="71"/>
        <v>0</v>
      </c>
    </row>
    <row r="139" spans="1:17" x14ac:dyDescent="0.2">
      <c r="A139" s="1383"/>
      <c r="B139" s="1004">
        <v>9</v>
      </c>
      <c r="C139" s="1006">
        <f t="shared" ref="C139:H139" si="72">P68</f>
        <v>149.83000000000001</v>
      </c>
      <c r="D139" s="1006">
        <f t="shared" si="72"/>
        <v>-0.17</v>
      </c>
      <c r="E139" s="1006" t="str">
        <f t="shared" si="72"/>
        <v>-</v>
      </c>
      <c r="F139" s="1006">
        <f t="shared" si="72"/>
        <v>0</v>
      </c>
      <c r="G139" s="1006">
        <f t="shared" si="72"/>
        <v>0</v>
      </c>
      <c r="H139" s="1006">
        <f t="shared" si="72"/>
        <v>1.7979600000000002</v>
      </c>
      <c r="J139" s="1383"/>
      <c r="K139" s="1004">
        <v>9</v>
      </c>
      <c r="L139" s="1006">
        <f t="shared" ref="L139:Q139" si="73">P76</f>
        <v>0</v>
      </c>
      <c r="M139" s="1006">
        <f t="shared" si="73"/>
        <v>9.9999999999999995E-7</v>
      </c>
      <c r="N139" s="1006" t="str">
        <f t="shared" si="73"/>
        <v>-</v>
      </c>
      <c r="O139" s="1006">
        <f t="shared" si="73"/>
        <v>0</v>
      </c>
      <c r="P139" s="1006">
        <f t="shared" si="73"/>
        <v>0</v>
      </c>
      <c r="Q139" s="1006">
        <f t="shared" si="73"/>
        <v>0.12</v>
      </c>
    </row>
    <row r="140" spans="1:17" x14ac:dyDescent="0.2">
      <c r="A140" s="1383"/>
      <c r="B140" s="1004">
        <v>10</v>
      </c>
      <c r="C140" s="1006">
        <f>B99</f>
        <v>150</v>
      </c>
      <c r="D140" s="1006" t="str">
        <f t="shared" ref="D140:F140" si="74">C99</f>
        <v>-</v>
      </c>
      <c r="E140" s="1006" t="str">
        <f t="shared" si="74"/>
        <v>-</v>
      </c>
      <c r="F140" s="1006" t="str">
        <f t="shared" si="74"/>
        <v>-</v>
      </c>
      <c r="G140" s="1006">
        <f>F99</f>
        <v>0</v>
      </c>
      <c r="H140" s="1006" t="str">
        <f>G99</f>
        <v>-</v>
      </c>
      <c r="J140" s="1383"/>
      <c r="K140" s="1004">
        <v>10</v>
      </c>
      <c r="L140" s="1006">
        <f t="shared" ref="L140:Q140" si="75">B107</f>
        <v>0</v>
      </c>
      <c r="M140" s="1006" t="str">
        <f t="shared" si="75"/>
        <v>-</v>
      </c>
      <c r="N140" s="1006" t="str">
        <f t="shared" si="75"/>
        <v>-</v>
      </c>
      <c r="O140" s="1006">
        <f t="shared" si="75"/>
        <v>0</v>
      </c>
      <c r="P140" s="1006">
        <f t="shared" si="75"/>
        <v>0</v>
      </c>
      <c r="Q140" s="1006" t="str">
        <f t="shared" si="75"/>
        <v>-</v>
      </c>
    </row>
    <row r="141" spans="1:17" x14ac:dyDescent="0.2">
      <c r="A141" s="1383"/>
      <c r="B141" s="1004">
        <v>11</v>
      </c>
      <c r="C141" s="1006">
        <f>I99</f>
        <v>150</v>
      </c>
      <c r="D141" s="1006" t="str">
        <f t="shared" ref="D141:F141" si="76">J99</f>
        <v>-</v>
      </c>
      <c r="E141" s="1006" t="str">
        <f t="shared" si="76"/>
        <v>-</v>
      </c>
      <c r="F141" s="1006">
        <f t="shared" si="76"/>
        <v>0</v>
      </c>
      <c r="G141" s="1006">
        <f>M99</f>
        <v>0</v>
      </c>
      <c r="H141" s="1006" t="str">
        <f>N99</f>
        <v>-</v>
      </c>
      <c r="J141" s="1383"/>
      <c r="K141" s="1004">
        <v>11</v>
      </c>
      <c r="L141" s="1006">
        <f t="shared" ref="L141:Q141" si="77">I107</f>
        <v>0</v>
      </c>
      <c r="M141" s="1006" t="str">
        <f t="shared" si="77"/>
        <v>-</v>
      </c>
      <c r="N141" s="1006" t="str">
        <f t="shared" si="77"/>
        <v>-</v>
      </c>
      <c r="O141" s="1006">
        <f t="shared" si="77"/>
        <v>0</v>
      </c>
      <c r="P141" s="1006">
        <f t="shared" si="77"/>
        <v>0</v>
      </c>
      <c r="Q141" s="1006" t="str">
        <f t="shared" si="77"/>
        <v>-</v>
      </c>
    </row>
    <row r="142" spans="1:17" x14ac:dyDescent="0.2">
      <c r="A142" s="1383"/>
      <c r="B142" s="1004">
        <v>12</v>
      </c>
      <c r="C142" s="1006">
        <f>P99</f>
        <v>150</v>
      </c>
      <c r="D142" s="1006" t="str">
        <f t="shared" ref="D142:F142" si="78">Q99</f>
        <v>-</v>
      </c>
      <c r="E142" s="1006" t="str">
        <f t="shared" si="78"/>
        <v>-</v>
      </c>
      <c r="F142" s="1006">
        <f t="shared" si="78"/>
        <v>0</v>
      </c>
      <c r="G142" s="1006">
        <f>T99</f>
        <v>0</v>
      </c>
      <c r="H142" s="1006" t="str">
        <f>U99</f>
        <v>-</v>
      </c>
      <c r="J142" s="1383"/>
      <c r="K142" s="1004">
        <v>12</v>
      </c>
      <c r="L142" s="1006">
        <f t="shared" ref="L142:Q142" si="79">P107</f>
        <v>0</v>
      </c>
      <c r="M142" s="1006" t="str">
        <f t="shared" si="79"/>
        <v>-</v>
      </c>
      <c r="N142" s="1006" t="str">
        <f t="shared" si="79"/>
        <v>-</v>
      </c>
      <c r="O142" s="1006">
        <f t="shared" si="79"/>
        <v>0</v>
      </c>
      <c r="P142" s="1006">
        <f t="shared" si="79"/>
        <v>0</v>
      </c>
      <c r="Q142" s="1006" t="str">
        <f t="shared" si="79"/>
        <v>-</v>
      </c>
    </row>
    <row r="143" spans="1:17" s="973" customFormat="1" x14ac:dyDescent="0.2">
      <c r="A143" s="1007"/>
      <c r="B143" s="1007"/>
      <c r="C143" s="1008"/>
      <c r="D143" s="1008"/>
      <c r="E143" s="1008"/>
      <c r="F143" s="1009"/>
      <c r="G143" s="1008"/>
      <c r="H143" s="1008"/>
      <c r="J143" s="1007"/>
      <c r="K143" s="1007"/>
      <c r="L143" s="1010"/>
      <c r="M143" s="1010"/>
      <c r="N143" s="1010"/>
      <c r="O143" s="1009"/>
      <c r="P143" s="1010"/>
      <c r="Q143" s="1010"/>
    </row>
    <row r="144" spans="1:17" ht="15" x14ac:dyDescent="0.2">
      <c r="A144" s="1383" t="s">
        <v>52</v>
      </c>
      <c r="B144" s="1005">
        <v>1</v>
      </c>
      <c r="C144" s="1005">
        <f>B7</f>
        <v>180</v>
      </c>
      <c r="D144" s="1005">
        <f>C7</f>
        <v>0.1</v>
      </c>
      <c r="E144" s="1005">
        <f t="shared" ref="E144:H144" si="80">D7</f>
        <v>-0.03</v>
      </c>
      <c r="F144" s="1005" t="str">
        <f t="shared" si="80"/>
        <v>-</v>
      </c>
      <c r="G144" s="1005">
        <f t="shared" si="80"/>
        <v>6.5000000000000002E-2</v>
      </c>
      <c r="H144" s="1005">
        <f t="shared" si="80"/>
        <v>2.16</v>
      </c>
      <c r="J144" s="1383" t="s">
        <v>52</v>
      </c>
      <c r="K144" s="1005">
        <v>1</v>
      </c>
      <c r="L144" s="1004">
        <f t="shared" ref="L144:Q144" si="81">B15</f>
        <v>50</v>
      </c>
      <c r="M144" s="1004">
        <f t="shared" si="81"/>
        <v>0.1</v>
      </c>
      <c r="N144" s="1004">
        <f t="shared" si="81"/>
        <v>-0.06</v>
      </c>
      <c r="O144" s="1004" t="str">
        <f t="shared" si="81"/>
        <v>-</v>
      </c>
      <c r="P144" s="1004">
        <f t="shared" si="81"/>
        <v>0.08</v>
      </c>
      <c r="Q144" s="1004">
        <f t="shared" si="81"/>
        <v>0.29499999999999998</v>
      </c>
    </row>
    <row r="145" spans="1:17" ht="15" x14ac:dyDescent="0.2">
      <c r="A145" s="1383"/>
      <c r="B145" s="1005">
        <v>2</v>
      </c>
      <c r="C145" s="1005">
        <f t="shared" ref="C145:H145" si="82">I7</f>
        <v>180</v>
      </c>
      <c r="D145" s="1005">
        <f t="shared" si="82"/>
        <v>0.12</v>
      </c>
      <c r="E145" s="1005">
        <f t="shared" si="82"/>
        <v>-0.06</v>
      </c>
      <c r="F145" s="1005" t="str">
        <f t="shared" si="82"/>
        <v>-</v>
      </c>
      <c r="G145" s="1005">
        <f t="shared" si="82"/>
        <v>0.09</v>
      </c>
      <c r="H145" s="1005">
        <f t="shared" si="82"/>
        <v>2.16</v>
      </c>
      <c r="J145" s="1383"/>
      <c r="K145" s="1005">
        <v>2</v>
      </c>
      <c r="L145" s="1004">
        <f t="shared" ref="L145:Q145" si="83">I15</f>
        <v>50</v>
      </c>
      <c r="M145" s="1004">
        <f t="shared" si="83"/>
        <v>-0.08</v>
      </c>
      <c r="N145" s="1004">
        <f t="shared" si="83"/>
        <v>0.1</v>
      </c>
      <c r="O145" s="1004" t="str">
        <f t="shared" si="83"/>
        <v>-</v>
      </c>
      <c r="P145" s="1004">
        <f t="shared" si="83"/>
        <v>0.09</v>
      </c>
      <c r="Q145" s="1004">
        <f t="shared" si="83"/>
        <v>0.29499999999999998</v>
      </c>
    </row>
    <row r="146" spans="1:17" ht="15" x14ac:dyDescent="0.2">
      <c r="A146" s="1383"/>
      <c r="B146" s="1005">
        <v>3</v>
      </c>
      <c r="C146" s="1005">
        <f t="shared" ref="C146:H146" si="84">P7</f>
        <v>180</v>
      </c>
      <c r="D146" s="1005">
        <f t="shared" si="84"/>
        <v>-1.81</v>
      </c>
      <c r="E146" s="1005">
        <f t="shared" si="84"/>
        <v>-1.9</v>
      </c>
      <c r="F146" s="1005">
        <f t="shared" si="84"/>
        <v>-0.13</v>
      </c>
      <c r="G146" s="1005">
        <f t="shared" si="84"/>
        <v>0.88500000000000001</v>
      </c>
      <c r="H146" s="1005">
        <f t="shared" si="84"/>
        <v>2.16</v>
      </c>
      <c r="J146" s="1383"/>
      <c r="K146" s="1004">
        <v>3</v>
      </c>
      <c r="L146" s="1004">
        <f t="shared" ref="L146:Q146" si="85">P15</f>
        <v>50</v>
      </c>
      <c r="M146" s="1004">
        <f t="shared" si="85"/>
        <v>9.1</v>
      </c>
      <c r="N146" s="1004">
        <f t="shared" si="85"/>
        <v>-0.62</v>
      </c>
      <c r="O146" s="1004">
        <f t="shared" si="85"/>
        <v>2</v>
      </c>
      <c r="P146" s="1004">
        <f t="shared" si="85"/>
        <v>4.8599999999999994</v>
      </c>
      <c r="Q146" s="1004">
        <f t="shared" si="85"/>
        <v>0.29499999999999998</v>
      </c>
    </row>
    <row r="147" spans="1:17" ht="15" x14ac:dyDescent="0.2">
      <c r="A147" s="1383"/>
      <c r="B147" s="1005">
        <v>4</v>
      </c>
      <c r="C147" s="1005">
        <f t="shared" ref="C147:H147" si="86">B38</f>
        <v>180</v>
      </c>
      <c r="D147" s="1005">
        <f t="shared" si="86"/>
        <v>-0.04</v>
      </c>
      <c r="E147" s="1005">
        <f t="shared" si="86"/>
        <v>0.03</v>
      </c>
      <c r="F147" s="1005">
        <f t="shared" si="86"/>
        <v>0</v>
      </c>
      <c r="G147" s="1005">
        <f t="shared" si="86"/>
        <v>3.5000000000000003E-2</v>
      </c>
      <c r="H147" s="1005">
        <f t="shared" si="86"/>
        <v>2.16</v>
      </c>
      <c r="J147" s="1383"/>
      <c r="K147" s="1004">
        <v>4</v>
      </c>
      <c r="L147" s="1004">
        <f t="shared" ref="L147:Q147" si="87">B46</f>
        <v>50</v>
      </c>
      <c r="M147" s="1004">
        <f t="shared" si="87"/>
        <v>-0.3</v>
      </c>
      <c r="N147" s="1004">
        <f t="shared" si="87"/>
        <v>-0.28999999999999998</v>
      </c>
      <c r="O147" s="1004">
        <f t="shared" si="87"/>
        <v>0</v>
      </c>
      <c r="P147" s="1004">
        <f t="shared" si="87"/>
        <v>5.0000000000000044E-3</v>
      </c>
      <c r="Q147" s="1004">
        <f t="shared" si="87"/>
        <v>0.29499999999999998</v>
      </c>
    </row>
    <row r="148" spans="1:17" ht="15" x14ac:dyDescent="0.2">
      <c r="A148" s="1383"/>
      <c r="B148" s="1005">
        <v>5</v>
      </c>
      <c r="C148" s="1005">
        <f t="shared" ref="C148:H148" si="88">I38</f>
        <v>180</v>
      </c>
      <c r="D148" s="1005">
        <f t="shared" si="88"/>
        <v>0.09</v>
      </c>
      <c r="E148" s="1005">
        <f t="shared" si="88"/>
        <v>0.1</v>
      </c>
      <c r="F148" s="1005">
        <f t="shared" si="88"/>
        <v>0</v>
      </c>
      <c r="G148" s="1005">
        <f t="shared" si="88"/>
        <v>5.0000000000000044E-3</v>
      </c>
      <c r="H148" s="1005">
        <f t="shared" si="88"/>
        <v>2.16</v>
      </c>
      <c r="J148" s="1383"/>
      <c r="K148" s="1004">
        <v>5</v>
      </c>
      <c r="L148" s="1004">
        <f t="shared" ref="L148:Q148" si="89">I46</f>
        <v>50</v>
      </c>
      <c r="M148" s="1004">
        <f t="shared" si="89"/>
        <v>0.3</v>
      </c>
      <c r="N148" s="1004">
        <f t="shared" si="89"/>
        <v>-0.33</v>
      </c>
      <c r="O148" s="1004">
        <f t="shared" si="89"/>
        <v>0</v>
      </c>
      <c r="P148" s="1004">
        <f t="shared" si="89"/>
        <v>0.315</v>
      </c>
      <c r="Q148" s="1004">
        <f t="shared" si="89"/>
        <v>0.28999999999999998</v>
      </c>
    </row>
    <row r="149" spans="1:17" ht="15" x14ac:dyDescent="0.2">
      <c r="A149" s="1383"/>
      <c r="B149" s="1005">
        <v>6</v>
      </c>
      <c r="C149" s="1005">
        <f t="shared" ref="C149:H149" si="90">P38</f>
        <v>180</v>
      </c>
      <c r="D149" s="1005">
        <f t="shared" si="90"/>
        <v>-0.11</v>
      </c>
      <c r="E149" s="1005">
        <f t="shared" si="90"/>
        <v>9.9999999999999995E-7</v>
      </c>
      <c r="F149" s="1005">
        <f t="shared" si="90"/>
        <v>0</v>
      </c>
      <c r="G149" s="1005">
        <f>T38</f>
        <v>5.5000500000000001E-2</v>
      </c>
      <c r="H149" s="1005">
        <f t="shared" si="90"/>
        <v>2.16</v>
      </c>
      <c r="J149" s="1383"/>
      <c r="K149" s="1004">
        <v>6</v>
      </c>
      <c r="L149" s="1004">
        <f t="shared" ref="L149:Q149" si="91">P46</f>
        <v>50</v>
      </c>
      <c r="M149" s="1004">
        <f t="shared" si="91"/>
        <v>0.02</v>
      </c>
      <c r="N149" s="1004">
        <f t="shared" si="91"/>
        <v>-0.1</v>
      </c>
      <c r="O149" s="1004">
        <f t="shared" si="91"/>
        <v>0</v>
      </c>
      <c r="P149" s="1004">
        <f t="shared" si="91"/>
        <v>6.0000000000000005E-2</v>
      </c>
      <c r="Q149" s="1004">
        <f t="shared" si="91"/>
        <v>0.28999999999999998</v>
      </c>
    </row>
    <row r="150" spans="1:17" ht="15" x14ac:dyDescent="0.2">
      <c r="A150" s="1383"/>
      <c r="B150" s="1005">
        <v>7</v>
      </c>
      <c r="C150" s="1005">
        <f t="shared" ref="C150:H150" si="92">B69</f>
        <v>180.33</v>
      </c>
      <c r="D150" s="1005">
        <f t="shared" si="92"/>
        <v>0.33</v>
      </c>
      <c r="E150" s="1005">
        <f t="shared" si="92"/>
        <v>0.37</v>
      </c>
      <c r="F150" s="1005">
        <f t="shared" si="92"/>
        <v>0</v>
      </c>
      <c r="G150" s="1005">
        <f t="shared" si="92"/>
        <v>1.999999999999999E-2</v>
      </c>
      <c r="H150" s="1005">
        <f t="shared" si="92"/>
        <v>2.1639600000000003</v>
      </c>
      <c r="J150" s="1383"/>
      <c r="K150" s="1004">
        <v>7</v>
      </c>
      <c r="L150" s="1004">
        <f t="shared" ref="L150:Q150" si="93">B77</f>
        <v>50</v>
      </c>
      <c r="M150" s="1004">
        <f t="shared" si="93"/>
        <v>1.7</v>
      </c>
      <c r="N150" s="1004">
        <f t="shared" si="93"/>
        <v>2.1</v>
      </c>
      <c r="O150" s="1004">
        <f t="shared" si="93"/>
        <v>0</v>
      </c>
      <c r="P150" s="1004">
        <f t="shared" si="93"/>
        <v>0.20000000000000007</v>
      </c>
      <c r="Q150" s="1004">
        <f t="shared" si="93"/>
        <v>0.29499999999999998</v>
      </c>
    </row>
    <row r="151" spans="1:17" ht="15" x14ac:dyDescent="0.2">
      <c r="A151" s="1383"/>
      <c r="B151" s="1005">
        <v>8</v>
      </c>
      <c r="C151" s="1005">
        <f t="shared" ref="C151:H151" si="94">I69</f>
        <v>180</v>
      </c>
      <c r="D151" s="1005">
        <f t="shared" si="94"/>
        <v>-0.39</v>
      </c>
      <c r="E151" s="1005">
        <f t="shared" si="94"/>
        <v>-0.14000000000000001</v>
      </c>
      <c r="F151" s="1005">
        <f t="shared" si="94"/>
        <v>0</v>
      </c>
      <c r="G151" s="1005">
        <f t="shared" si="94"/>
        <v>0.125</v>
      </c>
      <c r="H151" s="1005">
        <f t="shared" si="94"/>
        <v>2.16</v>
      </c>
      <c r="J151" s="1383"/>
      <c r="K151" s="1004">
        <v>8</v>
      </c>
      <c r="L151" s="1004">
        <f t="shared" ref="L151:Q151" si="95">I77</f>
        <v>20</v>
      </c>
      <c r="M151" s="1004">
        <f t="shared" si="95"/>
        <v>6.6</v>
      </c>
      <c r="N151" s="1004">
        <f t="shared" si="95"/>
        <v>0.9</v>
      </c>
      <c r="O151" s="1004">
        <f t="shared" si="95"/>
        <v>0</v>
      </c>
      <c r="P151" s="1004">
        <f t="shared" si="95"/>
        <v>2.8499999999999996</v>
      </c>
      <c r="Q151" s="1004">
        <f t="shared" si="95"/>
        <v>0.11799999999999999</v>
      </c>
    </row>
    <row r="152" spans="1:17" ht="15" x14ac:dyDescent="0.2">
      <c r="A152" s="1383"/>
      <c r="B152" s="1005">
        <v>9</v>
      </c>
      <c r="C152" s="1005">
        <f t="shared" ref="C152:H152" si="96">P69</f>
        <v>179.78</v>
      </c>
      <c r="D152" s="1005">
        <f t="shared" si="96"/>
        <v>-0.22</v>
      </c>
      <c r="E152" s="1005" t="str">
        <f t="shared" si="96"/>
        <v>-</v>
      </c>
      <c r="F152" s="1005">
        <f t="shared" si="96"/>
        <v>0</v>
      </c>
      <c r="G152" s="1005">
        <f t="shared" si="96"/>
        <v>0</v>
      </c>
      <c r="H152" s="1005">
        <f t="shared" si="96"/>
        <v>2.1573600000000002</v>
      </c>
      <c r="J152" s="1383"/>
      <c r="K152" s="1004">
        <v>9</v>
      </c>
      <c r="L152" s="1004">
        <f t="shared" ref="L152:Q152" si="97">P77</f>
        <v>20.8</v>
      </c>
      <c r="M152" s="1004">
        <f t="shared" si="97"/>
        <v>0.8</v>
      </c>
      <c r="N152" s="1004" t="str">
        <f t="shared" si="97"/>
        <v>-</v>
      </c>
      <c r="O152" s="1004">
        <f t="shared" si="97"/>
        <v>0</v>
      </c>
      <c r="P152" s="1004">
        <f t="shared" si="97"/>
        <v>0</v>
      </c>
      <c r="Q152" s="1004">
        <f t="shared" si="97"/>
        <v>0.12272</v>
      </c>
    </row>
    <row r="153" spans="1:17" ht="15" x14ac:dyDescent="0.2">
      <c r="A153" s="1383"/>
      <c r="B153" s="1005">
        <v>10</v>
      </c>
      <c r="C153" s="1005">
        <f>B100</f>
        <v>180</v>
      </c>
      <c r="D153" s="1005" t="str">
        <f t="shared" ref="D153:F153" si="98">C100</f>
        <v>-</v>
      </c>
      <c r="E153" s="1005" t="str">
        <f t="shared" si="98"/>
        <v>-</v>
      </c>
      <c r="F153" s="1005" t="str">
        <f t="shared" si="98"/>
        <v>-</v>
      </c>
      <c r="G153" s="1005">
        <f>F100</f>
        <v>0</v>
      </c>
      <c r="H153" s="1005" t="str">
        <f>G100</f>
        <v>-</v>
      </c>
      <c r="J153" s="1383"/>
      <c r="K153" s="1004">
        <v>10</v>
      </c>
      <c r="L153" s="1004">
        <f t="shared" ref="L153:Q153" si="99">B108</f>
        <v>50</v>
      </c>
      <c r="M153" s="1004" t="str">
        <f t="shared" si="99"/>
        <v>-</v>
      </c>
      <c r="N153" s="1004" t="str">
        <f t="shared" si="99"/>
        <v>-</v>
      </c>
      <c r="O153" s="1004">
        <f t="shared" si="99"/>
        <v>0</v>
      </c>
      <c r="P153" s="1004">
        <f t="shared" si="99"/>
        <v>0</v>
      </c>
      <c r="Q153" s="1004" t="str">
        <f t="shared" si="99"/>
        <v>-</v>
      </c>
    </row>
    <row r="154" spans="1:17" ht="15" x14ac:dyDescent="0.2">
      <c r="A154" s="1383"/>
      <c r="B154" s="1005">
        <v>11</v>
      </c>
      <c r="C154" s="1005">
        <f>I100</f>
        <v>180</v>
      </c>
      <c r="D154" s="1005" t="str">
        <f t="shared" ref="D154:F154" si="100">J100</f>
        <v>-</v>
      </c>
      <c r="E154" s="1005" t="str">
        <f t="shared" si="100"/>
        <v>-</v>
      </c>
      <c r="F154" s="1005">
        <f t="shared" si="100"/>
        <v>0</v>
      </c>
      <c r="G154" s="1005">
        <f>M100</f>
        <v>0</v>
      </c>
      <c r="H154" s="1005" t="str">
        <f>N100</f>
        <v>-</v>
      </c>
      <c r="J154" s="1383"/>
      <c r="K154" s="1004">
        <v>11</v>
      </c>
      <c r="L154" s="1004">
        <f t="shared" ref="L154:Q154" si="101">I108</f>
        <v>50</v>
      </c>
      <c r="M154" s="1004" t="str">
        <f t="shared" si="101"/>
        <v>-</v>
      </c>
      <c r="N154" s="1004" t="str">
        <f t="shared" si="101"/>
        <v>-</v>
      </c>
      <c r="O154" s="1004">
        <f t="shared" si="101"/>
        <v>0</v>
      </c>
      <c r="P154" s="1004">
        <f t="shared" si="101"/>
        <v>0</v>
      </c>
      <c r="Q154" s="1004" t="str">
        <f t="shared" si="101"/>
        <v>-</v>
      </c>
    </row>
    <row r="155" spans="1:17" ht="15" x14ac:dyDescent="0.2">
      <c r="A155" s="1383"/>
      <c r="B155" s="1005">
        <v>12</v>
      </c>
      <c r="C155" s="1005">
        <f>P100</f>
        <v>180</v>
      </c>
      <c r="D155" s="1005" t="str">
        <f t="shared" ref="D155:F155" si="102">Q100</f>
        <v>-</v>
      </c>
      <c r="E155" s="1005" t="str">
        <f t="shared" si="102"/>
        <v>-</v>
      </c>
      <c r="F155" s="1005">
        <f t="shared" si="102"/>
        <v>0</v>
      </c>
      <c r="G155" s="1005">
        <f>T100</f>
        <v>0</v>
      </c>
      <c r="H155" s="1005" t="str">
        <f>U100</f>
        <v>-</v>
      </c>
      <c r="J155" s="1383"/>
      <c r="K155" s="1004">
        <v>12</v>
      </c>
      <c r="L155" s="1004">
        <f t="shared" ref="L155:Q155" si="103">P108</f>
        <v>50</v>
      </c>
      <c r="M155" s="1004" t="str">
        <f t="shared" si="103"/>
        <v>-</v>
      </c>
      <c r="N155" s="1004" t="str">
        <f t="shared" si="103"/>
        <v>-</v>
      </c>
      <c r="O155" s="1004">
        <f t="shared" si="103"/>
        <v>0</v>
      </c>
      <c r="P155" s="1004">
        <f t="shared" si="103"/>
        <v>0</v>
      </c>
      <c r="Q155" s="1004" t="str">
        <f t="shared" si="103"/>
        <v>-</v>
      </c>
    </row>
    <row r="156" spans="1:17" s="973" customFormat="1" x14ac:dyDescent="0.2">
      <c r="A156" s="1007"/>
      <c r="B156" s="1007"/>
      <c r="C156" s="1007"/>
      <c r="D156" s="1007"/>
      <c r="E156" s="1007"/>
      <c r="F156" s="1009"/>
      <c r="G156" s="1007"/>
      <c r="H156" s="1007"/>
      <c r="J156" s="1007"/>
      <c r="K156" s="1007"/>
      <c r="L156" s="1007"/>
      <c r="M156" s="1007"/>
      <c r="N156" s="1007"/>
      <c r="O156" s="1009"/>
      <c r="P156" s="1007"/>
      <c r="Q156" s="1007"/>
    </row>
    <row r="157" spans="1:17" ht="15" x14ac:dyDescent="0.2">
      <c r="A157" s="1383" t="s">
        <v>53</v>
      </c>
      <c r="B157" s="1005">
        <v>1</v>
      </c>
      <c r="C157" s="1005">
        <f t="shared" ref="C157:H157" si="104">B8</f>
        <v>200</v>
      </c>
      <c r="D157" s="1005">
        <f t="shared" si="104"/>
        <v>-0.04</v>
      </c>
      <c r="E157" s="1005">
        <f t="shared" si="104"/>
        <v>-0.16</v>
      </c>
      <c r="F157" s="1005" t="str">
        <f t="shared" si="104"/>
        <v>-</v>
      </c>
      <c r="G157" s="1005">
        <f t="shared" si="104"/>
        <v>0.06</v>
      </c>
      <c r="H157" s="1005">
        <f t="shared" si="104"/>
        <v>2.4</v>
      </c>
      <c r="J157" s="1383" t="s">
        <v>53</v>
      </c>
      <c r="K157" s="1005">
        <v>1</v>
      </c>
      <c r="L157" s="1004">
        <f t="shared" ref="L157:Q157" si="105">B16</f>
        <v>100</v>
      </c>
      <c r="M157" s="1004">
        <f t="shared" si="105"/>
        <v>0.2</v>
      </c>
      <c r="N157" s="1004">
        <f t="shared" si="105"/>
        <v>-0.06</v>
      </c>
      <c r="O157" s="1004" t="str">
        <f t="shared" si="105"/>
        <v>-</v>
      </c>
      <c r="P157" s="1004">
        <f t="shared" si="105"/>
        <v>0.13</v>
      </c>
      <c r="Q157" s="1004">
        <f t="shared" si="105"/>
        <v>0.59</v>
      </c>
    </row>
    <row r="158" spans="1:17" ht="15" x14ac:dyDescent="0.2">
      <c r="A158" s="1383"/>
      <c r="B158" s="1005">
        <v>2</v>
      </c>
      <c r="C158" s="1005">
        <f t="shared" ref="C158:H158" si="106">I8</f>
        <v>200</v>
      </c>
      <c r="D158" s="1005">
        <f t="shared" si="106"/>
        <v>0.06</v>
      </c>
      <c r="E158" s="1005">
        <f t="shared" si="106"/>
        <v>-0.18</v>
      </c>
      <c r="F158" s="1005" t="str">
        <f t="shared" si="106"/>
        <v>-</v>
      </c>
      <c r="G158" s="1005">
        <f t="shared" si="106"/>
        <v>0.12</v>
      </c>
      <c r="H158" s="1005">
        <f t="shared" si="106"/>
        <v>2.4</v>
      </c>
      <c r="J158" s="1383"/>
      <c r="K158" s="1005">
        <v>2</v>
      </c>
      <c r="L158" s="1004">
        <f t="shared" ref="L158:Q158" si="107">I16</f>
        <v>100</v>
      </c>
      <c r="M158" s="1004">
        <f t="shared" si="107"/>
        <v>-7.0000000000000007E-2</v>
      </c>
      <c r="N158" s="1004">
        <f t="shared" si="107"/>
        <v>2.2000000000000002</v>
      </c>
      <c r="O158" s="1004" t="str">
        <f t="shared" si="107"/>
        <v>-</v>
      </c>
      <c r="P158" s="1004">
        <f t="shared" si="107"/>
        <v>1.135</v>
      </c>
      <c r="Q158" s="1004">
        <f t="shared" si="107"/>
        <v>0.59</v>
      </c>
    </row>
    <row r="159" spans="1:17" x14ac:dyDescent="0.2">
      <c r="A159" s="1383"/>
      <c r="B159" s="1004">
        <v>3</v>
      </c>
      <c r="C159" s="1004">
        <f t="shared" ref="C159:H159" si="108">P8</f>
        <v>200</v>
      </c>
      <c r="D159" s="1004">
        <f t="shared" si="108"/>
        <v>-2.0499999999999998</v>
      </c>
      <c r="E159" s="1004">
        <f t="shared" si="108"/>
        <v>-2.14</v>
      </c>
      <c r="F159" s="1004">
        <f t="shared" si="108"/>
        <v>-0.26</v>
      </c>
      <c r="G159" s="1004">
        <f t="shared" si="108"/>
        <v>0.94000000000000006</v>
      </c>
      <c r="H159" s="1004">
        <f t="shared" si="108"/>
        <v>2.4</v>
      </c>
      <c r="J159" s="1383"/>
      <c r="K159" s="1004">
        <v>3</v>
      </c>
      <c r="L159" s="1004">
        <f t="shared" ref="L159:Q159" si="109">P16</f>
        <v>100</v>
      </c>
      <c r="M159" s="1004">
        <f t="shared" si="109"/>
        <v>6</v>
      </c>
      <c r="N159" s="1004">
        <f t="shared" si="109"/>
        <v>-0.22</v>
      </c>
      <c r="O159" s="1004">
        <f t="shared" si="109"/>
        <v>2</v>
      </c>
      <c r="P159" s="1004">
        <f t="shared" si="109"/>
        <v>3.11</v>
      </c>
      <c r="Q159" s="1004">
        <f t="shared" si="109"/>
        <v>0.59</v>
      </c>
    </row>
    <row r="160" spans="1:17" x14ac:dyDescent="0.2">
      <c r="A160" s="1383"/>
      <c r="B160" s="1004">
        <v>4</v>
      </c>
      <c r="C160" s="1004">
        <f t="shared" ref="C160:H160" si="110">B39</f>
        <v>200</v>
      </c>
      <c r="D160" s="1004">
        <f t="shared" si="110"/>
        <v>-0.67</v>
      </c>
      <c r="E160" s="1004">
        <f t="shared" si="110"/>
        <v>0.05</v>
      </c>
      <c r="F160" s="1004">
        <f t="shared" si="110"/>
        <v>0</v>
      </c>
      <c r="G160" s="1004">
        <f t="shared" si="110"/>
        <v>0.36000000000000004</v>
      </c>
      <c r="H160" s="1004">
        <f t="shared" si="110"/>
        <v>2.4</v>
      </c>
      <c r="J160" s="1383"/>
      <c r="K160" s="1004">
        <v>4</v>
      </c>
      <c r="L160" s="1004">
        <f t="shared" ref="L160:Q160" si="111">B47</f>
        <v>100</v>
      </c>
      <c r="M160" s="1004">
        <f t="shared" si="111"/>
        <v>-0.4</v>
      </c>
      <c r="N160" s="1004">
        <f t="shared" si="111"/>
        <v>-0.35</v>
      </c>
      <c r="O160" s="1004">
        <f t="shared" si="111"/>
        <v>0</v>
      </c>
      <c r="P160" s="1004">
        <f t="shared" si="111"/>
        <v>2.5000000000000022E-2</v>
      </c>
      <c r="Q160" s="1004">
        <f t="shared" si="111"/>
        <v>0.59</v>
      </c>
    </row>
    <row r="161" spans="1:17" x14ac:dyDescent="0.2">
      <c r="A161" s="1383"/>
      <c r="B161" s="1004">
        <v>5</v>
      </c>
      <c r="C161" s="1004">
        <f t="shared" ref="C161:H161" si="112">I39</f>
        <v>200</v>
      </c>
      <c r="D161" s="1004">
        <f t="shared" si="112"/>
        <v>0.18</v>
      </c>
      <c r="E161" s="1004">
        <f t="shared" si="112"/>
        <v>-0.03</v>
      </c>
      <c r="F161" s="1004">
        <f t="shared" si="112"/>
        <v>0</v>
      </c>
      <c r="G161" s="1004">
        <f t="shared" si="112"/>
        <v>0.105</v>
      </c>
      <c r="H161" s="1004">
        <f t="shared" si="112"/>
        <v>2.4</v>
      </c>
      <c r="J161" s="1383"/>
      <c r="K161" s="1004">
        <v>5</v>
      </c>
      <c r="L161" s="1004">
        <f t="shared" ref="L161:Q161" si="113">I47</f>
        <v>100</v>
      </c>
      <c r="M161" s="1004">
        <f t="shared" si="113"/>
        <v>-0.1</v>
      </c>
      <c r="N161" s="1004">
        <f t="shared" si="113"/>
        <v>-0.42</v>
      </c>
      <c r="O161" s="1004">
        <f t="shared" si="113"/>
        <v>0</v>
      </c>
      <c r="P161" s="1004">
        <f t="shared" si="113"/>
        <v>0.15999999999999998</v>
      </c>
      <c r="Q161" s="1004">
        <f t="shared" si="113"/>
        <v>0.57999999999999996</v>
      </c>
    </row>
    <row r="162" spans="1:17" x14ac:dyDescent="0.2">
      <c r="A162" s="1383"/>
      <c r="B162" s="1004">
        <v>6</v>
      </c>
      <c r="C162" s="1004">
        <f t="shared" ref="C162:H162" si="114">P39</f>
        <v>200</v>
      </c>
      <c r="D162" s="1004">
        <f t="shared" si="114"/>
        <v>-0.1</v>
      </c>
      <c r="E162" s="1004">
        <f t="shared" si="114"/>
        <v>0.05</v>
      </c>
      <c r="F162" s="1004">
        <f t="shared" si="114"/>
        <v>0</v>
      </c>
      <c r="G162" s="1004">
        <f t="shared" si="114"/>
        <v>7.5000000000000011E-2</v>
      </c>
      <c r="H162" s="1004">
        <f t="shared" si="114"/>
        <v>2.4</v>
      </c>
      <c r="J162" s="1383"/>
      <c r="K162" s="1004">
        <v>6</v>
      </c>
      <c r="L162" s="1004">
        <f t="shared" ref="L162:Q162" si="115">P47</f>
        <v>100</v>
      </c>
      <c r="M162" s="1004">
        <f t="shared" si="115"/>
        <v>0.22</v>
      </c>
      <c r="N162" s="1004">
        <f t="shared" si="115"/>
        <v>-0.2</v>
      </c>
      <c r="O162" s="1004">
        <f t="shared" si="115"/>
        <v>0</v>
      </c>
      <c r="P162" s="1004">
        <f t="shared" si="115"/>
        <v>0.21000000000000002</v>
      </c>
      <c r="Q162" s="1004">
        <f t="shared" si="115"/>
        <v>0.57999999999999996</v>
      </c>
    </row>
    <row r="163" spans="1:17" x14ac:dyDescent="0.2">
      <c r="A163" s="1383"/>
      <c r="B163" s="1004">
        <v>7</v>
      </c>
      <c r="C163" s="1004">
        <f t="shared" ref="C163:H163" si="116">B70</f>
        <v>200.35</v>
      </c>
      <c r="D163" s="1004">
        <f t="shared" si="116"/>
        <v>0.34</v>
      </c>
      <c r="E163" s="1004">
        <f t="shared" si="116"/>
        <v>0.4</v>
      </c>
      <c r="F163" s="1004">
        <f t="shared" si="116"/>
        <v>0</v>
      </c>
      <c r="G163" s="1004">
        <f t="shared" si="116"/>
        <v>0.03</v>
      </c>
      <c r="H163" s="1004">
        <f t="shared" si="116"/>
        <v>2.4041999999999999</v>
      </c>
      <c r="J163" s="1383"/>
      <c r="K163" s="1004">
        <v>7</v>
      </c>
      <c r="L163" s="1004">
        <f t="shared" ref="L163:Q163" si="117">B78</f>
        <v>100</v>
      </c>
      <c r="M163" s="1004">
        <f t="shared" si="117"/>
        <v>1.7</v>
      </c>
      <c r="N163" s="1004">
        <f t="shared" si="117"/>
        <v>2.2000000000000002</v>
      </c>
      <c r="O163" s="1004">
        <f t="shared" si="117"/>
        <v>0</v>
      </c>
      <c r="P163" s="1004">
        <f t="shared" si="117"/>
        <v>0.25000000000000011</v>
      </c>
      <c r="Q163" s="1004">
        <f t="shared" si="117"/>
        <v>0.59</v>
      </c>
    </row>
    <row r="164" spans="1:17" x14ac:dyDescent="0.2">
      <c r="A164" s="1383"/>
      <c r="B164" s="1004">
        <v>8</v>
      </c>
      <c r="C164" s="1004">
        <f t="shared" ref="C164:H164" si="118">I70</f>
        <v>200</v>
      </c>
      <c r="D164" s="1004">
        <f t="shared" si="118"/>
        <v>-0.23</v>
      </c>
      <c r="E164" s="1004">
        <f t="shared" si="118"/>
        <v>-0.33</v>
      </c>
      <c r="F164" s="1004">
        <f t="shared" si="118"/>
        <v>0</v>
      </c>
      <c r="G164" s="1004">
        <f t="shared" si="118"/>
        <v>0.05</v>
      </c>
      <c r="H164" s="1004">
        <f t="shared" si="118"/>
        <v>2.4</v>
      </c>
      <c r="J164" s="1383"/>
      <c r="K164" s="1004">
        <v>8</v>
      </c>
      <c r="L164" s="1004">
        <f t="shared" ref="L164:Q164" si="119">I78</f>
        <v>50</v>
      </c>
      <c r="M164" s="1004">
        <f t="shared" si="119"/>
        <v>5</v>
      </c>
      <c r="N164" s="1004">
        <f t="shared" si="119"/>
        <v>2.1</v>
      </c>
      <c r="O164" s="1004">
        <f t="shared" si="119"/>
        <v>0</v>
      </c>
      <c r="P164" s="1004">
        <f t="shared" si="119"/>
        <v>1.45</v>
      </c>
      <c r="Q164" s="1004">
        <f t="shared" si="119"/>
        <v>0.29499999999999998</v>
      </c>
    </row>
    <row r="165" spans="1:17" x14ac:dyDescent="0.2">
      <c r="A165" s="1383"/>
      <c r="B165" s="1004">
        <v>9</v>
      </c>
      <c r="C165" s="1004">
        <f t="shared" ref="C165:H165" si="120">P70</f>
        <v>199.67</v>
      </c>
      <c r="D165" s="1004">
        <f t="shared" si="120"/>
        <v>-0.33</v>
      </c>
      <c r="E165" s="1004" t="str">
        <f t="shared" si="120"/>
        <v>-</v>
      </c>
      <c r="F165" s="1004">
        <f t="shared" si="120"/>
        <v>0</v>
      </c>
      <c r="G165" s="1004">
        <f t="shared" si="120"/>
        <v>0</v>
      </c>
      <c r="H165" s="1004">
        <f t="shared" si="120"/>
        <v>2.3960399999999997</v>
      </c>
      <c r="J165" s="1383"/>
      <c r="K165" s="1004">
        <v>9</v>
      </c>
      <c r="L165" s="1004">
        <f t="shared" ref="L165:Q165" si="121">P78</f>
        <v>51.7</v>
      </c>
      <c r="M165" s="1004">
        <f t="shared" si="121"/>
        <v>1.7</v>
      </c>
      <c r="N165" s="1004" t="str">
        <f t="shared" si="121"/>
        <v>-</v>
      </c>
      <c r="O165" s="1004">
        <f t="shared" si="121"/>
        <v>0</v>
      </c>
      <c r="P165" s="1004">
        <f t="shared" si="121"/>
        <v>0</v>
      </c>
      <c r="Q165" s="1004">
        <f t="shared" si="121"/>
        <v>0.30503000000000002</v>
      </c>
    </row>
    <row r="166" spans="1:17" x14ac:dyDescent="0.2">
      <c r="A166" s="1383"/>
      <c r="B166" s="1004">
        <v>10</v>
      </c>
      <c r="C166" s="1004">
        <f>B101</f>
        <v>200</v>
      </c>
      <c r="D166" s="1004" t="str">
        <f t="shared" ref="D166:F166" si="122">C101</f>
        <v>-</v>
      </c>
      <c r="E166" s="1004" t="str">
        <f t="shared" si="122"/>
        <v>-</v>
      </c>
      <c r="F166" s="1004" t="str">
        <f t="shared" si="122"/>
        <v>-</v>
      </c>
      <c r="G166" s="1004">
        <f>F101</f>
        <v>0</v>
      </c>
      <c r="H166" s="1004" t="str">
        <f>G101</f>
        <v>-</v>
      </c>
      <c r="J166" s="1383"/>
      <c r="K166" s="1004">
        <v>10</v>
      </c>
      <c r="L166" s="1004">
        <f t="shared" ref="L166:Q166" si="123">B109</f>
        <v>100</v>
      </c>
      <c r="M166" s="1004" t="str">
        <f t="shared" si="123"/>
        <v>-</v>
      </c>
      <c r="N166" s="1004" t="str">
        <f t="shared" si="123"/>
        <v>-</v>
      </c>
      <c r="O166" s="1004">
        <f t="shared" si="123"/>
        <v>0</v>
      </c>
      <c r="P166" s="1004">
        <f t="shared" si="123"/>
        <v>0</v>
      </c>
      <c r="Q166" s="1004" t="str">
        <f t="shared" si="123"/>
        <v>-</v>
      </c>
    </row>
    <row r="167" spans="1:17" x14ac:dyDescent="0.2">
      <c r="A167" s="1383"/>
      <c r="B167" s="1004">
        <v>11</v>
      </c>
      <c r="C167" s="1004">
        <f>I101</f>
        <v>200</v>
      </c>
      <c r="D167" s="1004" t="str">
        <f t="shared" ref="D167:F167" si="124">J101</f>
        <v>-</v>
      </c>
      <c r="E167" s="1004" t="str">
        <f t="shared" si="124"/>
        <v>-</v>
      </c>
      <c r="F167" s="1004">
        <f t="shared" si="124"/>
        <v>0</v>
      </c>
      <c r="G167" s="1004">
        <f>M101</f>
        <v>0</v>
      </c>
      <c r="H167" s="1004" t="str">
        <f>N101</f>
        <v>-</v>
      </c>
      <c r="J167" s="1383"/>
      <c r="K167" s="1004">
        <v>11</v>
      </c>
      <c r="L167" s="1004">
        <f t="shared" ref="L167:Q167" si="125">I109</f>
        <v>100</v>
      </c>
      <c r="M167" s="1004" t="str">
        <f t="shared" si="125"/>
        <v>-</v>
      </c>
      <c r="N167" s="1004" t="str">
        <f t="shared" si="125"/>
        <v>-</v>
      </c>
      <c r="O167" s="1004">
        <f t="shared" si="125"/>
        <v>0</v>
      </c>
      <c r="P167" s="1004">
        <f t="shared" si="125"/>
        <v>0</v>
      </c>
      <c r="Q167" s="1004" t="str">
        <f t="shared" si="125"/>
        <v>-</v>
      </c>
    </row>
    <row r="168" spans="1:17" x14ac:dyDescent="0.2">
      <c r="A168" s="1383"/>
      <c r="B168" s="1004">
        <v>12</v>
      </c>
      <c r="C168" s="1004">
        <f>P101</f>
        <v>200</v>
      </c>
      <c r="D168" s="1004" t="str">
        <f t="shared" ref="D168:F168" si="126">Q101</f>
        <v>-</v>
      </c>
      <c r="E168" s="1004" t="str">
        <f t="shared" si="126"/>
        <v>-</v>
      </c>
      <c r="F168" s="1004">
        <f t="shared" si="126"/>
        <v>0</v>
      </c>
      <c r="G168" s="1004">
        <f>T101</f>
        <v>0</v>
      </c>
      <c r="H168" s="1004" t="str">
        <f>U101</f>
        <v>-</v>
      </c>
      <c r="J168" s="1383"/>
      <c r="K168" s="1004">
        <v>12</v>
      </c>
      <c r="L168" s="1004">
        <f t="shared" ref="L168:Q168" si="127">P109</f>
        <v>100</v>
      </c>
      <c r="M168" s="1004" t="str">
        <f t="shared" si="127"/>
        <v>-</v>
      </c>
      <c r="N168" s="1004" t="str">
        <f t="shared" si="127"/>
        <v>-</v>
      </c>
      <c r="O168" s="1004">
        <f t="shared" si="127"/>
        <v>0</v>
      </c>
      <c r="P168" s="1004">
        <f t="shared" si="127"/>
        <v>0</v>
      </c>
      <c r="Q168" s="1004" t="str">
        <f t="shared" si="127"/>
        <v>-</v>
      </c>
    </row>
    <row r="169" spans="1:17" s="973" customFormat="1" x14ac:dyDescent="0.2">
      <c r="A169" s="1007"/>
      <c r="B169" s="1007"/>
      <c r="C169" s="1007"/>
      <c r="D169" s="1007"/>
      <c r="E169" s="1007"/>
      <c r="F169" s="1009"/>
      <c r="G169" s="1007"/>
      <c r="H169" s="1007"/>
      <c r="J169" s="1007"/>
      <c r="K169" s="1007"/>
      <c r="L169" s="1007"/>
      <c r="M169" s="1007"/>
      <c r="N169" s="1007"/>
      <c r="O169" s="1009"/>
      <c r="P169" s="1007"/>
      <c r="Q169" s="1007"/>
    </row>
    <row r="170" spans="1:17" ht="15" x14ac:dyDescent="0.2">
      <c r="A170" s="1383" t="s">
        <v>54</v>
      </c>
      <c r="B170" s="1005">
        <v>1</v>
      </c>
      <c r="C170" s="1005">
        <f t="shared" ref="C170:H170" si="128">B9</f>
        <v>220</v>
      </c>
      <c r="D170" s="1005">
        <f t="shared" si="128"/>
        <v>-0.28000000000000003</v>
      </c>
      <c r="E170" s="1005">
        <f t="shared" si="128"/>
        <v>-0.18</v>
      </c>
      <c r="F170" s="1005" t="str">
        <f t="shared" si="128"/>
        <v>-</v>
      </c>
      <c r="G170" s="1005">
        <f t="shared" si="128"/>
        <v>5.0000000000000017E-2</v>
      </c>
      <c r="H170" s="1005">
        <f t="shared" si="128"/>
        <v>2.64</v>
      </c>
      <c r="J170" s="1383" t="s">
        <v>54</v>
      </c>
      <c r="K170" s="1005">
        <v>1</v>
      </c>
      <c r="L170" s="1004">
        <f t="shared" ref="L170:Q170" si="129">B17</f>
        <v>200</v>
      </c>
      <c r="M170" s="1004">
        <f t="shared" si="129"/>
        <v>0.4</v>
      </c>
      <c r="N170" s="1004">
        <f t="shared" si="129"/>
        <v>9.9999999999999995E-7</v>
      </c>
      <c r="O170" s="1004" t="str">
        <f t="shared" si="129"/>
        <v>-</v>
      </c>
      <c r="P170" s="1004">
        <f t="shared" si="129"/>
        <v>0.19999950000000002</v>
      </c>
      <c r="Q170" s="1004">
        <f t="shared" si="129"/>
        <v>1.18</v>
      </c>
    </row>
    <row r="171" spans="1:17" ht="15" x14ac:dyDescent="0.2">
      <c r="A171" s="1383"/>
      <c r="B171" s="1005">
        <v>2</v>
      </c>
      <c r="C171" s="1004">
        <f t="shared" ref="C171:H171" si="130">I9</f>
        <v>220</v>
      </c>
      <c r="D171" s="1004">
        <f t="shared" si="130"/>
        <v>0.05</v>
      </c>
      <c r="E171" s="1004">
        <f t="shared" si="130"/>
        <v>-0.03</v>
      </c>
      <c r="F171" s="1004" t="str">
        <f t="shared" si="130"/>
        <v>-</v>
      </c>
      <c r="G171" s="1004">
        <f t="shared" si="130"/>
        <v>0.04</v>
      </c>
      <c r="H171" s="1004">
        <f t="shared" si="130"/>
        <v>2.64</v>
      </c>
      <c r="J171" s="1383"/>
      <c r="K171" s="1005">
        <v>2</v>
      </c>
      <c r="L171" s="1004">
        <f t="shared" ref="L171:Q171" si="131">I17</f>
        <v>200</v>
      </c>
      <c r="M171" s="1004">
        <f t="shared" si="131"/>
        <v>-0.1</v>
      </c>
      <c r="N171" s="1004">
        <f t="shared" si="131"/>
        <v>3.3</v>
      </c>
      <c r="O171" s="1004" t="str">
        <f t="shared" si="131"/>
        <v>-</v>
      </c>
      <c r="P171" s="1004">
        <f t="shared" si="131"/>
        <v>1.7</v>
      </c>
      <c r="Q171" s="1004">
        <f t="shared" si="131"/>
        <v>1.18</v>
      </c>
    </row>
    <row r="172" spans="1:17" x14ac:dyDescent="0.2">
      <c r="A172" s="1383"/>
      <c r="B172" s="1004">
        <v>3</v>
      </c>
      <c r="C172" s="1004">
        <f t="shared" ref="C172:H172" si="132">P9</f>
        <v>220</v>
      </c>
      <c r="D172" s="1004">
        <f t="shared" si="132"/>
        <v>-2.29</v>
      </c>
      <c r="E172" s="1004">
        <f t="shared" si="132"/>
        <v>-3.44</v>
      </c>
      <c r="F172" s="1004">
        <f t="shared" si="132"/>
        <v>-0.28999999999999998</v>
      </c>
      <c r="G172" s="1004">
        <f t="shared" si="132"/>
        <v>1.575</v>
      </c>
      <c r="H172" s="1004">
        <f t="shared" si="132"/>
        <v>2.64</v>
      </c>
      <c r="J172" s="1383"/>
      <c r="K172" s="1004">
        <v>3</v>
      </c>
      <c r="L172" s="1004">
        <f t="shared" ref="L172:Q172" si="133">P17</f>
        <v>200</v>
      </c>
      <c r="M172" s="1004">
        <f t="shared" si="133"/>
        <v>-3.6</v>
      </c>
      <c r="N172" s="1004">
        <f t="shared" si="133"/>
        <v>-0.1</v>
      </c>
      <c r="O172" s="1004">
        <f t="shared" si="133"/>
        <v>3.6</v>
      </c>
      <c r="P172" s="1004">
        <f t="shared" si="133"/>
        <v>3.6</v>
      </c>
      <c r="Q172" s="1004">
        <f t="shared" si="133"/>
        <v>1.18</v>
      </c>
    </row>
    <row r="173" spans="1:17" x14ac:dyDescent="0.2">
      <c r="A173" s="1383"/>
      <c r="B173" s="1004">
        <v>4</v>
      </c>
      <c r="C173" s="1004">
        <f t="shared" ref="C173:H173" si="134">B40</f>
        <v>220</v>
      </c>
      <c r="D173" s="1004">
        <f t="shared" si="134"/>
        <v>9.9999999999999995E-7</v>
      </c>
      <c r="E173" s="1004">
        <f t="shared" si="134"/>
        <v>0.1</v>
      </c>
      <c r="F173" s="1004">
        <f t="shared" si="134"/>
        <v>0</v>
      </c>
      <c r="G173" s="1004">
        <f t="shared" si="134"/>
        <v>4.9999500000000002E-2</v>
      </c>
      <c r="H173" s="1004">
        <f t="shared" si="134"/>
        <v>2.64</v>
      </c>
      <c r="J173" s="1383"/>
      <c r="K173" s="1004">
        <v>4</v>
      </c>
      <c r="L173" s="1004">
        <f t="shared" ref="L173:Q173" si="135">B48</f>
        <v>200</v>
      </c>
      <c r="M173" s="1004">
        <f t="shared" si="135"/>
        <v>0.3</v>
      </c>
      <c r="N173" s="1004">
        <f t="shared" si="135"/>
        <v>0.8</v>
      </c>
      <c r="O173" s="1004">
        <f t="shared" si="135"/>
        <v>0</v>
      </c>
      <c r="P173" s="1004">
        <f t="shared" si="135"/>
        <v>0.25</v>
      </c>
      <c r="Q173" s="1004">
        <f t="shared" si="135"/>
        <v>1.18</v>
      </c>
    </row>
    <row r="174" spans="1:17" x14ac:dyDescent="0.2">
      <c r="A174" s="1383"/>
      <c r="B174" s="1004">
        <v>5</v>
      </c>
      <c r="C174" s="1004">
        <f t="shared" ref="C174:H174" si="136">I40</f>
        <v>220</v>
      </c>
      <c r="D174" s="1004">
        <f t="shared" si="136"/>
        <v>0.56000000000000005</v>
      </c>
      <c r="E174" s="1004">
        <f t="shared" si="136"/>
        <v>0.38</v>
      </c>
      <c r="F174" s="1004">
        <f t="shared" si="136"/>
        <v>0</v>
      </c>
      <c r="G174" s="1004">
        <f t="shared" si="136"/>
        <v>9.0000000000000024E-2</v>
      </c>
      <c r="H174" s="1004">
        <f t="shared" si="136"/>
        <v>2.64</v>
      </c>
      <c r="J174" s="1383"/>
      <c r="K174" s="1004">
        <v>5</v>
      </c>
      <c r="L174" s="1004">
        <f t="shared" ref="L174:Q174" si="137">I48</f>
        <v>200</v>
      </c>
      <c r="M174" s="1004">
        <f t="shared" si="137"/>
        <v>1.3</v>
      </c>
      <c r="N174" s="1004">
        <f t="shared" si="137"/>
        <v>1.3</v>
      </c>
      <c r="O174" s="1004">
        <f t="shared" si="137"/>
        <v>0</v>
      </c>
      <c r="P174" s="1004">
        <f t="shared" si="137"/>
        <v>0</v>
      </c>
      <c r="Q174" s="1004">
        <f t="shared" si="137"/>
        <v>1.1599999999999999</v>
      </c>
    </row>
    <row r="175" spans="1:17" x14ac:dyDescent="0.2">
      <c r="A175" s="1383"/>
      <c r="B175" s="1004">
        <v>6</v>
      </c>
      <c r="C175" s="1004">
        <f t="shared" ref="C175:H175" si="138">P40</f>
        <v>220</v>
      </c>
      <c r="D175" s="1004">
        <f t="shared" si="138"/>
        <v>-0.13</v>
      </c>
      <c r="E175" s="1004">
        <f t="shared" si="138"/>
        <v>0.05</v>
      </c>
      <c r="F175" s="1004">
        <f t="shared" si="138"/>
        <v>0</v>
      </c>
      <c r="G175" s="1004">
        <f t="shared" si="138"/>
        <v>0.09</v>
      </c>
      <c r="H175" s="1004">
        <f t="shared" si="138"/>
        <v>2.64</v>
      </c>
      <c r="J175" s="1383"/>
      <c r="K175" s="1004">
        <v>6</v>
      </c>
      <c r="L175" s="1004">
        <f t="shared" ref="L175:Q175" si="139">P48</f>
        <v>200</v>
      </c>
      <c r="M175" s="1004">
        <f t="shared" si="139"/>
        <v>0.8</v>
      </c>
      <c r="N175" s="1004">
        <f t="shared" si="139"/>
        <v>0.8</v>
      </c>
      <c r="O175" s="1004">
        <f t="shared" si="139"/>
        <v>0</v>
      </c>
      <c r="P175" s="1004">
        <f t="shared" si="139"/>
        <v>0</v>
      </c>
      <c r="Q175" s="1004">
        <f t="shared" si="139"/>
        <v>1.1599999999999999</v>
      </c>
    </row>
    <row r="176" spans="1:17" x14ac:dyDescent="0.2">
      <c r="A176" s="1383"/>
      <c r="B176" s="1004">
        <v>7</v>
      </c>
      <c r="C176" s="1004">
        <f t="shared" ref="C176:H176" si="140">B71</f>
        <v>220.37</v>
      </c>
      <c r="D176" s="1004">
        <f t="shared" si="140"/>
        <v>0.37</v>
      </c>
      <c r="E176" s="1004">
        <f t="shared" si="140"/>
        <v>0.38</v>
      </c>
      <c r="F176" s="1004">
        <f t="shared" si="140"/>
        <v>0</v>
      </c>
      <c r="G176" s="1004">
        <f t="shared" si="140"/>
        <v>5.0000000000000044E-3</v>
      </c>
      <c r="H176" s="1004">
        <f t="shared" si="140"/>
        <v>2.6444399999999999</v>
      </c>
      <c r="J176" s="1383"/>
      <c r="K176" s="1004">
        <v>7</v>
      </c>
      <c r="L176" s="1004">
        <f t="shared" ref="L176:Q176" si="141">B79</f>
        <v>200.4</v>
      </c>
      <c r="M176" s="1004">
        <f t="shared" si="141"/>
        <v>0.4</v>
      </c>
      <c r="N176" s="1004">
        <f t="shared" si="141"/>
        <v>2.4</v>
      </c>
      <c r="O176" s="1004">
        <f t="shared" si="141"/>
        <v>0</v>
      </c>
      <c r="P176" s="1004">
        <f t="shared" si="141"/>
        <v>1</v>
      </c>
      <c r="Q176" s="1004">
        <f t="shared" si="141"/>
        <v>1.1823600000000001</v>
      </c>
    </row>
    <row r="177" spans="1:17" x14ac:dyDescent="0.2">
      <c r="A177" s="1383"/>
      <c r="B177" s="1004">
        <v>8</v>
      </c>
      <c r="C177" s="1004">
        <f t="shared" ref="C177:H177" si="142">I71</f>
        <v>220</v>
      </c>
      <c r="D177" s="1004">
        <f t="shared" si="142"/>
        <v>-0.16</v>
      </c>
      <c r="E177" s="1004">
        <f t="shared" si="142"/>
        <v>-0.45</v>
      </c>
      <c r="F177" s="1004">
        <f t="shared" si="142"/>
        <v>0</v>
      </c>
      <c r="G177" s="1004">
        <f t="shared" si="142"/>
        <v>0.14500000000000002</v>
      </c>
      <c r="H177" s="1004">
        <f t="shared" si="142"/>
        <v>2.64</v>
      </c>
      <c r="J177" s="1383"/>
      <c r="K177" s="1004">
        <v>8</v>
      </c>
      <c r="L177" s="1004">
        <f t="shared" ref="L177:Q177" si="143">I79</f>
        <v>200</v>
      </c>
      <c r="M177" s="1004">
        <f t="shared" si="143"/>
        <v>-8.1999999999999993</v>
      </c>
      <c r="N177" s="1004">
        <f t="shared" si="143"/>
        <v>3.7</v>
      </c>
      <c r="O177" s="1004">
        <f t="shared" si="143"/>
        <v>0</v>
      </c>
      <c r="P177" s="1004">
        <f t="shared" si="143"/>
        <v>5.9499999999999993</v>
      </c>
      <c r="Q177" s="1004">
        <f t="shared" si="143"/>
        <v>1.18</v>
      </c>
    </row>
    <row r="178" spans="1:17" x14ac:dyDescent="0.2">
      <c r="A178" s="1383"/>
      <c r="B178" s="1004">
        <v>9</v>
      </c>
      <c r="C178" s="1004">
        <f t="shared" ref="C178:H178" si="144">P71</f>
        <v>219.61</v>
      </c>
      <c r="D178" s="1004">
        <f t="shared" si="144"/>
        <v>-0.39</v>
      </c>
      <c r="E178" s="1004" t="str">
        <f t="shared" si="144"/>
        <v>-</v>
      </c>
      <c r="F178" s="1004">
        <f t="shared" si="144"/>
        <v>0</v>
      </c>
      <c r="G178" s="1004">
        <f t="shared" si="144"/>
        <v>0</v>
      </c>
      <c r="H178" s="1004">
        <f t="shared" si="144"/>
        <v>2.6353200000000001</v>
      </c>
      <c r="J178" s="1383"/>
      <c r="K178" s="1004">
        <v>9</v>
      </c>
      <c r="L178" s="1004">
        <f t="shared" ref="L178:Q178" si="145">P79</f>
        <v>103.4</v>
      </c>
      <c r="M178" s="1004">
        <f t="shared" si="145"/>
        <v>3.4</v>
      </c>
      <c r="N178" s="1004" t="str">
        <f t="shared" si="145"/>
        <v>-</v>
      </c>
      <c r="O178" s="1004">
        <f t="shared" si="145"/>
        <v>0</v>
      </c>
      <c r="P178" s="1004">
        <f t="shared" si="145"/>
        <v>0</v>
      </c>
      <c r="Q178" s="1004">
        <f t="shared" si="145"/>
        <v>0.61006000000000005</v>
      </c>
    </row>
    <row r="179" spans="1:17" x14ac:dyDescent="0.2">
      <c r="A179" s="1383"/>
      <c r="B179" s="1004">
        <v>10</v>
      </c>
      <c r="C179" s="1004">
        <f>B102</f>
        <v>220</v>
      </c>
      <c r="D179" s="1004" t="str">
        <f t="shared" ref="D179:F179" si="146">C102</f>
        <v>-</v>
      </c>
      <c r="E179" s="1004" t="str">
        <f t="shared" si="146"/>
        <v>-</v>
      </c>
      <c r="F179" s="1004" t="str">
        <f t="shared" si="146"/>
        <v>-</v>
      </c>
      <c r="G179" s="1004">
        <f>F102</f>
        <v>0</v>
      </c>
      <c r="H179" s="1004" t="str">
        <f>G102</f>
        <v>-</v>
      </c>
      <c r="J179" s="1383"/>
      <c r="K179" s="1004">
        <v>10</v>
      </c>
      <c r="L179" s="1004">
        <f t="shared" ref="L179:Q179" si="147">B110</f>
        <v>200</v>
      </c>
      <c r="M179" s="1004" t="str">
        <f t="shared" si="147"/>
        <v>-</v>
      </c>
      <c r="N179" s="1004" t="str">
        <f t="shared" si="147"/>
        <v>-</v>
      </c>
      <c r="O179" s="1004">
        <f t="shared" si="147"/>
        <v>0</v>
      </c>
      <c r="P179" s="1004">
        <f t="shared" si="147"/>
        <v>0</v>
      </c>
      <c r="Q179" s="1004" t="str">
        <f t="shared" si="147"/>
        <v>-</v>
      </c>
    </row>
    <row r="180" spans="1:17" x14ac:dyDescent="0.2">
      <c r="A180" s="1383"/>
      <c r="B180" s="1004">
        <v>11</v>
      </c>
      <c r="C180" s="1004">
        <f>I102</f>
        <v>220</v>
      </c>
      <c r="D180" s="1004" t="str">
        <f t="shared" ref="D180:F180" si="148">J102</f>
        <v>-</v>
      </c>
      <c r="E180" s="1004" t="str">
        <f t="shared" si="148"/>
        <v>-</v>
      </c>
      <c r="F180" s="1004">
        <f t="shared" si="148"/>
        <v>0</v>
      </c>
      <c r="G180" s="1004">
        <f>M102</f>
        <v>0</v>
      </c>
      <c r="H180" s="1004" t="str">
        <f>N102</f>
        <v>-</v>
      </c>
      <c r="J180" s="1383"/>
      <c r="K180" s="1004">
        <v>11</v>
      </c>
      <c r="L180" s="1004">
        <f t="shared" ref="L180:Q180" si="149">I110</f>
        <v>200</v>
      </c>
      <c r="M180" s="1004" t="str">
        <f t="shared" si="149"/>
        <v>-</v>
      </c>
      <c r="N180" s="1004" t="str">
        <f t="shared" si="149"/>
        <v>-</v>
      </c>
      <c r="O180" s="1004">
        <f t="shared" si="149"/>
        <v>0</v>
      </c>
      <c r="P180" s="1004">
        <f t="shared" si="149"/>
        <v>0</v>
      </c>
      <c r="Q180" s="1004" t="str">
        <f t="shared" si="149"/>
        <v>-</v>
      </c>
    </row>
    <row r="181" spans="1:17" x14ac:dyDescent="0.2">
      <c r="A181" s="1383"/>
      <c r="B181" s="1004">
        <v>12</v>
      </c>
      <c r="C181" s="1004">
        <f>P102</f>
        <v>220</v>
      </c>
      <c r="D181" s="1004" t="str">
        <f t="shared" ref="D181:F181" si="150">Q102</f>
        <v>-</v>
      </c>
      <c r="E181" s="1004" t="str">
        <f t="shared" si="150"/>
        <v>-</v>
      </c>
      <c r="F181" s="1004">
        <f t="shared" si="150"/>
        <v>0</v>
      </c>
      <c r="G181" s="1004">
        <f>T102</f>
        <v>0</v>
      </c>
      <c r="H181" s="1004" t="str">
        <f>U102</f>
        <v>-</v>
      </c>
      <c r="J181" s="1383"/>
      <c r="K181" s="1004">
        <v>12</v>
      </c>
      <c r="L181" s="1004">
        <f t="shared" ref="L181:Q181" si="151">P110</f>
        <v>200</v>
      </c>
      <c r="M181" s="1004" t="str">
        <f t="shared" si="151"/>
        <v>-</v>
      </c>
      <c r="N181" s="1004" t="str">
        <f t="shared" si="151"/>
        <v>-</v>
      </c>
      <c r="O181" s="1004">
        <f t="shared" si="151"/>
        <v>0</v>
      </c>
      <c r="P181" s="1004">
        <f t="shared" si="151"/>
        <v>0</v>
      </c>
      <c r="Q181" s="1004" t="str">
        <f t="shared" si="151"/>
        <v>-</v>
      </c>
    </row>
    <row r="182" spans="1:17" s="973" customFormat="1" x14ac:dyDescent="0.2">
      <c r="A182" s="1007"/>
      <c r="B182" s="1007"/>
      <c r="C182" s="1007"/>
      <c r="D182" s="1007"/>
      <c r="E182" s="1007"/>
      <c r="F182" s="1009"/>
      <c r="G182" s="1007"/>
      <c r="H182" s="1007"/>
      <c r="J182" s="1007"/>
      <c r="K182" s="1007"/>
      <c r="L182" s="1007"/>
      <c r="M182" s="1007"/>
      <c r="N182" s="1007"/>
      <c r="O182" s="1009"/>
      <c r="P182" s="1007"/>
      <c r="Q182" s="1007"/>
    </row>
    <row r="183" spans="1:17" ht="15" x14ac:dyDescent="0.2">
      <c r="A183" s="1383" t="s">
        <v>55</v>
      </c>
      <c r="B183" s="1005">
        <v>1</v>
      </c>
      <c r="C183" s="1005">
        <f t="shared" ref="C183:H183" si="152">B10</f>
        <v>230</v>
      </c>
      <c r="D183" s="1005">
        <f t="shared" si="152"/>
        <v>-0.2</v>
      </c>
      <c r="E183" s="1005">
        <f t="shared" si="152"/>
        <v>-0.26</v>
      </c>
      <c r="F183" s="1005" t="str">
        <f t="shared" si="152"/>
        <v>-</v>
      </c>
      <c r="G183" s="1005">
        <f t="shared" si="152"/>
        <v>0.03</v>
      </c>
      <c r="H183" s="1005">
        <f t="shared" si="152"/>
        <v>2.7600000000000002</v>
      </c>
      <c r="J183" s="1383" t="s">
        <v>55</v>
      </c>
      <c r="K183" s="1005">
        <v>1</v>
      </c>
      <c r="L183" s="1004">
        <f t="shared" ref="L183:Q183" si="153">B18</f>
        <v>500</v>
      </c>
      <c r="M183" s="1004">
        <f t="shared" si="153"/>
        <v>3.8</v>
      </c>
      <c r="N183" s="1004">
        <f t="shared" si="153"/>
        <v>-0.9</v>
      </c>
      <c r="O183" s="1004" t="str">
        <f t="shared" si="153"/>
        <v>-</v>
      </c>
      <c r="P183" s="1004">
        <f t="shared" si="153"/>
        <v>2.35</v>
      </c>
      <c r="Q183" s="1004">
        <f t="shared" si="153"/>
        <v>2.9499999999999997</v>
      </c>
    </row>
    <row r="184" spans="1:17" ht="15" x14ac:dyDescent="0.2">
      <c r="A184" s="1383"/>
      <c r="B184" s="1005">
        <v>2</v>
      </c>
      <c r="C184" s="1004">
        <f t="shared" ref="C184:H184" si="154">I10</f>
        <v>230</v>
      </c>
      <c r="D184" s="1004">
        <f t="shared" si="154"/>
        <v>9.9999999999999995E-7</v>
      </c>
      <c r="E184" s="1004">
        <f t="shared" si="154"/>
        <v>0.05</v>
      </c>
      <c r="F184" s="1004" t="str">
        <f t="shared" si="154"/>
        <v>-</v>
      </c>
      <c r="G184" s="1004">
        <f t="shared" si="154"/>
        <v>2.4999500000000001E-2</v>
      </c>
      <c r="H184" s="1004">
        <f t="shared" si="154"/>
        <v>2.7600000000000002</v>
      </c>
      <c r="J184" s="1383"/>
      <c r="K184" s="1005">
        <v>2</v>
      </c>
      <c r="L184" s="1004">
        <f t="shared" ref="L184:Q184" si="155">I18</f>
        <v>500</v>
      </c>
      <c r="M184" s="1004">
        <f t="shared" si="155"/>
        <v>0.8</v>
      </c>
      <c r="N184" s="1004">
        <f t="shared" si="155"/>
        <v>2</v>
      </c>
      <c r="O184" s="1004" t="str">
        <f t="shared" si="155"/>
        <v>-</v>
      </c>
      <c r="P184" s="1004">
        <f t="shared" si="155"/>
        <v>0.6</v>
      </c>
      <c r="Q184" s="1004">
        <f t="shared" si="155"/>
        <v>2.9499999999999997</v>
      </c>
    </row>
    <row r="185" spans="1:17" x14ac:dyDescent="0.2">
      <c r="A185" s="1383"/>
      <c r="B185" s="1004">
        <v>3</v>
      </c>
      <c r="C185" s="1004">
        <f t="shared" ref="C185:H185" si="156">P10</f>
        <v>230</v>
      </c>
      <c r="D185" s="1004">
        <f t="shared" si="156"/>
        <v>-11.79</v>
      </c>
      <c r="E185" s="1004">
        <f t="shared" si="156"/>
        <v>-2.52</v>
      </c>
      <c r="F185" s="1004">
        <f t="shared" si="156"/>
        <v>-0.23</v>
      </c>
      <c r="G185" s="1004">
        <f t="shared" si="156"/>
        <v>5.7799999999999994</v>
      </c>
      <c r="H185" s="1004">
        <f t="shared" si="156"/>
        <v>2.7600000000000002</v>
      </c>
      <c r="J185" s="1383"/>
      <c r="K185" s="1004">
        <v>3</v>
      </c>
      <c r="L185" s="1004">
        <f t="shared" ref="L185:Q185" si="157">P18</f>
        <v>500</v>
      </c>
      <c r="M185" s="1004">
        <f t="shared" si="157"/>
        <v>-18.8</v>
      </c>
      <c r="N185" s="1004">
        <f t="shared" si="157"/>
        <v>-1.1000000000000001</v>
      </c>
      <c r="O185" s="1004">
        <f t="shared" si="157"/>
        <v>2.9</v>
      </c>
      <c r="P185" s="1004">
        <f t="shared" si="157"/>
        <v>10.85</v>
      </c>
      <c r="Q185" s="1004">
        <f t="shared" si="157"/>
        <v>2.9499999999999997</v>
      </c>
    </row>
    <row r="186" spans="1:17" x14ac:dyDescent="0.2">
      <c r="A186" s="1383"/>
      <c r="B186" s="1004">
        <v>4</v>
      </c>
      <c r="C186" s="1004">
        <f t="shared" ref="C186:H186" si="158">B41</f>
        <v>230</v>
      </c>
      <c r="D186" s="1004">
        <f t="shared" si="158"/>
        <v>-0.11</v>
      </c>
      <c r="E186" s="1004">
        <f t="shared" si="158"/>
        <v>1.1100000000000001</v>
      </c>
      <c r="F186" s="1004">
        <f t="shared" si="158"/>
        <v>0</v>
      </c>
      <c r="G186" s="1004">
        <f t="shared" si="158"/>
        <v>0.6100000000000001</v>
      </c>
      <c r="H186" s="1004">
        <f t="shared" si="158"/>
        <v>2.7600000000000002</v>
      </c>
      <c r="J186" s="1383"/>
      <c r="K186" s="1004">
        <v>4</v>
      </c>
      <c r="L186" s="1004">
        <f t="shared" ref="L186:Q186" si="159">B49</f>
        <v>500</v>
      </c>
      <c r="M186" s="1004">
        <f t="shared" si="159"/>
        <v>0.2</v>
      </c>
      <c r="N186" s="1004">
        <f t="shared" si="159"/>
        <v>1.2</v>
      </c>
      <c r="O186" s="1004">
        <f t="shared" si="159"/>
        <v>0</v>
      </c>
      <c r="P186" s="1004">
        <f t="shared" si="159"/>
        <v>0.5</v>
      </c>
      <c r="Q186" s="1004">
        <f t="shared" si="159"/>
        <v>2.9499999999999997</v>
      </c>
    </row>
    <row r="187" spans="1:17" x14ac:dyDescent="0.2">
      <c r="A187" s="1383"/>
      <c r="B187" s="1004">
        <v>5</v>
      </c>
      <c r="C187" s="1004">
        <f t="shared" ref="C187:H187" si="160">I41</f>
        <v>230</v>
      </c>
      <c r="D187" s="1004">
        <f t="shared" si="160"/>
        <v>0.73</v>
      </c>
      <c r="E187" s="1004">
        <f t="shared" si="160"/>
        <v>-0.16</v>
      </c>
      <c r="F187" s="1004">
        <f t="shared" si="160"/>
        <v>0</v>
      </c>
      <c r="G187" s="1004">
        <f t="shared" si="160"/>
        <v>0.44500000000000001</v>
      </c>
      <c r="H187" s="1004">
        <f t="shared" si="160"/>
        <v>2.7600000000000002</v>
      </c>
      <c r="J187" s="1383"/>
      <c r="K187" s="1004">
        <v>5</v>
      </c>
      <c r="L187" s="1004">
        <f t="shared" ref="L187:Q187" si="161">I49</f>
        <v>500</v>
      </c>
      <c r="M187" s="1004">
        <f t="shared" si="161"/>
        <v>0.7</v>
      </c>
      <c r="N187" s="1004">
        <f t="shared" si="161"/>
        <v>0.7</v>
      </c>
      <c r="O187" s="1004">
        <f t="shared" si="161"/>
        <v>0</v>
      </c>
      <c r="P187" s="1004">
        <f t="shared" si="161"/>
        <v>0</v>
      </c>
      <c r="Q187" s="1004">
        <f t="shared" si="161"/>
        <v>2.9</v>
      </c>
    </row>
    <row r="188" spans="1:17" x14ac:dyDescent="0.2">
      <c r="A188" s="1383"/>
      <c r="B188" s="1004">
        <v>6</v>
      </c>
      <c r="C188" s="1004">
        <f t="shared" ref="C188:H188" si="162">P41</f>
        <v>230</v>
      </c>
      <c r="D188" s="1004">
        <f t="shared" si="162"/>
        <v>-0.15</v>
      </c>
      <c r="E188" s="1004">
        <f t="shared" si="162"/>
        <v>-0.05</v>
      </c>
      <c r="F188" s="1004">
        <f t="shared" si="162"/>
        <v>0</v>
      </c>
      <c r="G188" s="1004">
        <f t="shared" si="162"/>
        <v>4.9999999999999996E-2</v>
      </c>
      <c r="H188" s="1004">
        <f t="shared" si="162"/>
        <v>2.7600000000000002</v>
      </c>
      <c r="J188" s="1383"/>
      <c r="K188" s="1004">
        <v>6</v>
      </c>
      <c r="L188" s="1004">
        <f t="shared" ref="L188:Q188" si="163">P49</f>
        <v>500</v>
      </c>
      <c r="M188" s="1004">
        <f t="shared" si="163"/>
        <v>1.1000000000000001</v>
      </c>
      <c r="N188" s="1004">
        <f t="shared" si="163"/>
        <v>0.6</v>
      </c>
      <c r="O188" s="1004">
        <f t="shared" si="163"/>
        <v>0</v>
      </c>
      <c r="P188" s="1004">
        <f t="shared" si="163"/>
        <v>0.25000000000000006</v>
      </c>
      <c r="Q188" s="1004">
        <f t="shared" si="163"/>
        <v>2.9</v>
      </c>
    </row>
    <row r="189" spans="1:17" x14ac:dyDescent="0.2">
      <c r="A189" s="1383"/>
      <c r="B189" s="1004">
        <v>7</v>
      </c>
      <c r="C189" s="1004">
        <f t="shared" ref="C189:H189" si="164">B72</f>
        <v>230.47</v>
      </c>
      <c r="D189" s="1004">
        <f t="shared" si="164"/>
        <v>0.47</v>
      </c>
      <c r="E189" s="1004">
        <f t="shared" si="164"/>
        <v>0.4</v>
      </c>
      <c r="F189" s="1004">
        <f t="shared" si="164"/>
        <v>0</v>
      </c>
      <c r="G189" s="1004">
        <f t="shared" si="164"/>
        <v>3.4999999999999976E-2</v>
      </c>
      <c r="H189" s="1004">
        <f t="shared" si="164"/>
        <v>2.7656399999999999</v>
      </c>
      <c r="J189" s="1383"/>
      <c r="K189" s="1004">
        <v>7</v>
      </c>
      <c r="L189" s="1004">
        <f t="shared" ref="L189:Q189" si="165">B80</f>
        <v>500</v>
      </c>
      <c r="M189" s="1004">
        <f t="shared" si="165"/>
        <v>3</v>
      </c>
      <c r="N189" s="1004">
        <f t="shared" si="165"/>
        <v>3.3</v>
      </c>
      <c r="O189" s="1004">
        <f t="shared" si="165"/>
        <v>0</v>
      </c>
      <c r="P189" s="1004">
        <f t="shared" si="165"/>
        <v>0.14999999999999991</v>
      </c>
      <c r="Q189" s="1004">
        <f t="shared" si="165"/>
        <v>2.9499999999999997</v>
      </c>
    </row>
    <row r="190" spans="1:17" x14ac:dyDescent="0.2">
      <c r="A190" s="1383"/>
      <c r="B190" s="1004">
        <v>8</v>
      </c>
      <c r="C190" s="1004">
        <f t="shared" ref="C190:H190" si="166">I72</f>
        <v>230</v>
      </c>
      <c r="D190" s="1004">
        <f t="shared" si="166"/>
        <v>-0.15</v>
      </c>
      <c r="E190" s="1004">
        <f t="shared" si="166"/>
        <v>-0.54</v>
      </c>
      <c r="F190" s="1004">
        <f t="shared" si="166"/>
        <v>0</v>
      </c>
      <c r="G190" s="1004">
        <f t="shared" si="166"/>
        <v>0.19500000000000001</v>
      </c>
      <c r="H190" s="1004">
        <f t="shared" si="166"/>
        <v>2.7600000000000002</v>
      </c>
      <c r="J190" s="1383"/>
      <c r="K190" s="1004">
        <v>8</v>
      </c>
      <c r="L190" s="1004">
        <f t="shared" ref="L190:Q190" si="167">I80</f>
        <v>500</v>
      </c>
      <c r="M190" s="1004">
        <f t="shared" si="167"/>
        <v>-31.8</v>
      </c>
      <c r="N190" s="1004">
        <f t="shared" si="167"/>
        <v>8.3000000000000007</v>
      </c>
      <c r="O190" s="1004">
        <f t="shared" si="167"/>
        <v>0</v>
      </c>
      <c r="P190" s="1004">
        <f t="shared" si="167"/>
        <v>20.05</v>
      </c>
      <c r="Q190" s="1004">
        <f t="shared" si="167"/>
        <v>2.9499999999999997</v>
      </c>
    </row>
    <row r="191" spans="1:17" x14ac:dyDescent="0.2">
      <c r="A191" s="1383"/>
      <c r="B191" s="1004">
        <v>9</v>
      </c>
      <c r="C191" s="1004">
        <f t="shared" ref="C191:H191" si="168">P72</f>
        <v>229.61</v>
      </c>
      <c r="D191" s="1004">
        <f t="shared" si="168"/>
        <v>-0.39</v>
      </c>
      <c r="E191" s="1004" t="str">
        <f t="shared" si="168"/>
        <v>-</v>
      </c>
      <c r="F191" s="1004">
        <f t="shared" si="168"/>
        <v>0</v>
      </c>
      <c r="G191" s="1004">
        <f t="shared" si="168"/>
        <v>0</v>
      </c>
      <c r="H191" s="1004">
        <f t="shared" si="168"/>
        <v>2.7553200000000002</v>
      </c>
      <c r="J191" s="1383"/>
      <c r="K191" s="1004">
        <v>9</v>
      </c>
      <c r="L191" s="1004">
        <f t="shared" ref="L191:Q191" si="169">P80</f>
        <v>507.2</v>
      </c>
      <c r="M191" s="1004">
        <f t="shared" si="169"/>
        <v>7.2</v>
      </c>
      <c r="N191" s="1004" t="str">
        <f t="shared" si="169"/>
        <v>-</v>
      </c>
      <c r="O191" s="1004">
        <f t="shared" si="169"/>
        <v>0</v>
      </c>
      <c r="P191" s="1004">
        <f t="shared" si="169"/>
        <v>0</v>
      </c>
      <c r="Q191" s="1004">
        <f t="shared" si="169"/>
        <v>2.99248</v>
      </c>
    </row>
    <row r="192" spans="1:17" x14ac:dyDescent="0.2">
      <c r="A192" s="1383"/>
      <c r="B192" s="1004">
        <v>10</v>
      </c>
      <c r="C192" s="1004">
        <f>B103</f>
        <v>230</v>
      </c>
      <c r="D192" s="1004" t="str">
        <f t="shared" ref="D192:F192" si="170">C103</f>
        <v>-</v>
      </c>
      <c r="E192" s="1004" t="str">
        <f t="shared" si="170"/>
        <v>-</v>
      </c>
      <c r="F192" s="1004" t="str">
        <f t="shared" si="170"/>
        <v>-</v>
      </c>
      <c r="G192" s="1004">
        <f>F103</f>
        <v>0</v>
      </c>
      <c r="H192" s="1004" t="str">
        <f>G103</f>
        <v>-</v>
      </c>
      <c r="J192" s="1383"/>
      <c r="K192" s="1004">
        <v>10</v>
      </c>
      <c r="L192" s="1004">
        <f t="shared" ref="L192:Q192" si="171">B111</f>
        <v>500</v>
      </c>
      <c r="M192" s="1004" t="str">
        <f t="shared" si="171"/>
        <v>-</v>
      </c>
      <c r="N192" s="1004" t="str">
        <f t="shared" si="171"/>
        <v>-</v>
      </c>
      <c r="O192" s="1004">
        <f t="shared" si="171"/>
        <v>0</v>
      </c>
      <c r="P192" s="1004">
        <f t="shared" si="171"/>
        <v>0</v>
      </c>
      <c r="Q192" s="1004" t="str">
        <f t="shared" si="171"/>
        <v>-</v>
      </c>
    </row>
    <row r="193" spans="1:17" x14ac:dyDescent="0.2">
      <c r="A193" s="1383"/>
      <c r="B193" s="1004">
        <v>11</v>
      </c>
      <c r="C193" s="1004">
        <f>I103</f>
        <v>230</v>
      </c>
      <c r="D193" s="1004" t="str">
        <f t="shared" ref="D193:F193" si="172">J103</f>
        <v>-</v>
      </c>
      <c r="E193" s="1004" t="str">
        <f t="shared" si="172"/>
        <v>-</v>
      </c>
      <c r="F193" s="1004">
        <f t="shared" si="172"/>
        <v>0</v>
      </c>
      <c r="G193" s="1004">
        <f>M103</f>
        <v>0</v>
      </c>
      <c r="H193" s="1004" t="str">
        <f>N103</f>
        <v>-</v>
      </c>
      <c r="J193" s="1383"/>
      <c r="K193" s="1004">
        <v>11</v>
      </c>
      <c r="L193" s="1004">
        <f t="shared" ref="L193:Q193" si="173">I111</f>
        <v>500</v>
      </c>
      <c r="M193" s="1004" t="str">
        <f t="shared" si="173"/>
        <v>-</v>
      </c>
      <c r="N193" s="1004" t="str">
        <f t="shared" si="173"/>
        <v>-</v>
      </c>
      <c r="O193" s="1004">
        <f t="shared" si="173"/>
        <v>0</v>
      </c>
      <c r="P193" s="1004">
        <f t="shared" si="173"/>
        <v>0</v>
      </c>
      <c r="Q193" s="1004" t="str">
        <f t="shared" si="173"/>
        <v>-</v>
      </c>
    </row>
    <row r="194" spans="1:17" x14ac:dyDescent="0.2">
      <c r="A194" s="1383"/>
      <c r="B194" s="1004">
        <v>12</v>
      </c>
      <c r="C194" s="1004">
        <f>P103</f>
        <v>230</v>
      </c>
      <c r="D194" s="1004" t="str">
        <f t="shared" ref="D194:F194" si="174">Q103</f>
        <v>-</v>
      </c>
      <c r="E194" s="1004" t="str">
        <f t="shared" si="174"/>
        <v>-</v>
      </c>
      <c r="F194" s="1004">
        <f t="shared" si="174"/>
        <v>0</v>
      </c>
      <c r="G194" s="1004">
        <f>T103</f>
        <v>0</v>
      </c>
      <c r="H194" s="1004" t="str">
        <f>U103</f>
        <v>-</v>
      </c>
      <c r="J194" s="1383"/>
      <c r="K194" s="1004">
        <v>12</v>
      </c>
      <c r="L194" s="1004">
        <f t="shared" ref="L194:Q194" si="175">P111</f>
        <v>500</v>
      </c>
      <c r="M194" s="1004" t="str">
        <f t="shared" si="175"/>
        <v>-</v>
      </c>
      <c r="N194" s="1004" t="str">
        <f t="shared" si="175"/>
        <v>-</v>
      </c>
      <c r="O194" s="1004">
        <f t="shared" si="175"/>
        <v>0</v>
      </c>
      <c r="P194" s="1004">
        <f t="shared" si="175"/>
        <v>0</v>
      </c>
      <c r="Q194" s="1004" t="str">
        <f t="shared" si="175"/>
        <v>-</v>
      </c>
    </row>
    <row r="195" spans="1:17" s="973" customFormat="1" x14ac:dyDescent="0.2">
      <c r="A195" s="1007"/>
      <c r="B195" s="1007"/>
      <c r="C195" s="1007"/>
      <c r="D195" s="1007"/>
      <c r="E195" s="1007"/>
      <c r="F195" s="1009"/>
      <c r="G195" s="1007"/>
      <c r="H195" s="1007"/>
      <c r="J195" s="1007"/>
      <c r="K195" s="1007"/>
      <c r="L195" s="1007"/>
      <c r="M195" s="1007"/>
      <c r="N195" s="1007"/>
      <c r="O195" s="1009"/>
      <c r="P195" s="1007"/>
      <c r="Q195" s="1007"/>
    </row>
    <row r="196" spans="1:17" ht="15" x14ac:dyDescent="0.2">
      <c r="A196" s="1383" t="s">
        <v>56</v>
      </c>
      <c r="B196" s="1005">
        <v>1</v>
      </c>
      <c r="C196" s="1005">
        <f t="shared" ref="C196:H196" si="176">B11</f>
        <v>250</v>
      </c>
      <c r="D196" s="1005">
        <f t="shared" si="176"/>
        <v>-0.32</v>
      </c>
      <c r="E196" s="1005">
        <f t="shared" si="176"/>
        <v>9.9999999999999995E-7</v>
      </c>
      <c r="F196" s="1005" t="str">
        <f t="shared" si="176"/>
        <v>-</v>
      </c>
      <c r="G196" s="1005">
        <f t="shared" si="176"/>
        <v>0.16000049999999999</v>
      </c>
      <c r="H196" s="1005">
        <f t="shared" si="176"/>
        <v>3</v>
      </c>
      <c r="J196" s="1383" t="s">
        <v>56</v>
      </c>
      <c r="K196" s="1005">
        <v>1</v>
      </c>
      <c r="L196" s="1004">
        <f t="shared" ref="L196:Q196" si="177">B19</f>
        <v>1000</v>
      </c>
      <c r="M196" s="1004">
        <f t="shared" si="177"/>
        <v>9.9999999999999995E-7</v>
      </c>
      <c r="N196" s="1004">
        <f t="shared" si="177"/>
        <v>9.9999999999999995E-7</v>
      </c>
      <c r="O196" s="1004" t="str">
        <f t="shared" si="177"/>
        <v>-</v>
      </c>
      <c r="P196" s="1004">
        <f t="shared" si="177"/>
        <v>0</v>
      </c>
      <c r="Q196" s="1004">
        <f t="shared" si="177"/>
        <v>2.95</v>
      </c>
    </row>
    <row r="197" spans="1:17" ht="15" x14ac:dyDescent="0.2">
      <c r="A197" s="1383"/>
      <c r="B197" s="1005">
        <v>2</v>
      </c>
      <c r="C197" s="1004">
        <f t="shared" ref="C197:H197" si="178">I11</f>
        <v>250</v>
      </c>
      <c r="D197" s="1004">
        <f t="shared" si="178"/>
        <v>9.9999999999999995E-7</v>
      </c>
      <c r="E197" s="1004">
        <f t="shared" si="178"/>
        <v>9.9999999999999995E-7</v>
      </c>
      <c r="F197" s="1004" t="str">
        <f t="shared" si="178"/>
        <v>-</v>
      </c>
      <c r="G197" s="1004">
        <f t="shared" si="178"/>
        <v>0</v>
      </c>
      <c r="H197" s="1004">
        <f t="shared" si="178"/>
        <v>2.76</v>
      </c>
      <c r="J197" s="1383"/>
      <c r="K197" s="1005">
        <v>2</v>
      </c>
      <c r="L197" s="1004">
        <f t="shared" ref="L197:Q197" si="179">I19</f>
        <v>1000</v>
      </c>
      <c r="M197" s="1004">
        <f t="shared" si="179"/>
        <v>9.9999999999999995E-7</v>
      </c>
      <c r="N197" s="1004">
        <f t="shared" si="179"/>
        <v>9.9999999999999995E-7</v>
      </c>
      <c r="O197" s="1004" t="str">
        <f t="shared" si="179"/>
        <v>-</v>
      </c>
      <c r="P197" s="1004">
        <f t="shared" si="179"/>
        <v>0</v>
      </c>
      <c r="Q197" s="1004">
        <f t="shared" si="179"/>
        <v>2.95</v>
      </c>
    </row>
    <row r="198" spans="1:17" x14ac:dyDescent="0.2">
      <c r="A198" s="1383"/>
      <c r="B198" s="1004">
        <v>3</v>
      </c>
      <c r="C198" s="1004">
        <f t="shared" ref="C198:H198" si="180">P11</f>
        <v>250</v>
      </c>
      <c r="D198" s="1004">
        <f t="shared" si="180"/>
        <v>9.9999999999999995E-7</v>
      </c>
      <c r="E198" s="1004">
        <f t="shared" si="180"/>
        <v>9.9999999999999995E-7</v>
      </c>
      <c r="F198" s="1004">
        <f t="shared" si="180"/>
        <v>9.9999999999999995E-7</v>
      </c>
      <c r="G198" s="1004">
        <f t="shared" si="180"/>
        <v>0</v>
      </c>
      <c r="H198" s="1004">
        <f t="shared" si="180"/>
        <v>3</v>
      </c>
      <c r="J198" s="1383"/>
      <c r="K198" s="1004">
        <v>3</v>
      </c>
      <c r="L198" s="1004">
        <f t="shared" ref="L198:Q198" si="181">P19</f>
        <v>1000</v>
      </c>
      <c r="M198" s="1004">
        <f t="shared" si="181"/>
        <v>-47</v>
      </c>
      <c r="N198" s="1004">
        <f t="shared" si="181"/>
        <v>3</v>
      </c>
      <c r="O198" s="1004">
        <f t="shared" si="181"/>
        <v>3</v>
      </c>
      <c r="P198" s="1004">
        <f t="shared" si="181"/>
        <v>25</v>
      </c>
      <c r="Q198" s="1004">
        <f t="shared" si="181"/>
        <v>5.8999999999999995</v>
      </c>
    </row>
    <row r="199" spans="1:17" x14ac:dyDescent="0.2">
      <c r="A199" s="1383"/>
      <c r="B199" s="1004">
        <v>4</v>
      </c>
      <c r="C199" s="1004">
        <f t="shared" ref="C199:H199" si="182">B42</f>
        <v>250</v>
      </c>
      <c r="D199" s="1004">
        <f t="shared" si="182"/>
        <v>9.9999999999999995E-7</v>
      </c>
      <c r="E199" s="1004">
        <f t="shared" si="182"/>
        <v>9.9999999999999995E-7</v>
      </c>
      <c r="F199" s="1004">
        <f t="shared" si="182"/>
        <v>0</v>
      </c>
      <c r="G199" s="1004">
        <f t="shared" si="182"/>
        <v>0</v>
      </c>
      <c r="H199" s="1004">
        <f t="shared" si="182"/>
        <v>2.76</v>
      </c>
      <c r="J199" s="1383"/>
      <c r="K199" s="1004">
        <v>4</v>
      </c>
      <c r="L199" s="1004">
        <f t="shared" ref="L199:Q199" si="183">B50</f>
        <v>1000</v>
      </c>
      <c r="M199" s="1004">
        <f t="shared" si="183"/>
        <v>2</v>
      </c>
      <c r="N199" s="1004">
        <f t="shared" si="183"/>
        <v>2</v>
      </c>
      <c r="O199" s="1004">
        <f t="shared" si="183"/>
        <v>0</v>
      </c>
      <c r="P199" s="1004">
        <f t="shared" si="183"/>
        <v>0</v>
      </c>
      <c r="Q199" s="1004">
        <f t="shared" si="183"/>
        <v>0</v>
      </c>
    </row>
    <row r="200" spans="1:17" x14ac:dyDescent="0.2">
      <c r="A200" s="1383"/>
      <c r="B200" s="1004">
        <v>5</v>
      </c>
      <c r="C200" s="1004">
        <f t="shared" ref="C200:H200" si="184">I42</f>
        <v>250</v>
      </c>
      <c r="D200" s="1004">
        <f t="shared" si="184"/>
        <v>9.9999999999999995E-7</v>
      </c>
      <c r="E200" s="1004">
        <f t="shared" si="184"/>
        <v>9.9999999999999995E-7</v>
      </c>
      <c r="F200" s="1004">
        <f t="shared" si="184"/>
        <v>0</v>
      </c>
      <c r="G200" s="1004">
        <f t="shared" si="184"/>
        <v>0</v>
      </c>
      <c r="H200" s="1004">
        <f t="shared" si="184"/>
        <v>2.76</v>
      </c>
      <c r="J200" s="1383"/>
      <c r="K200" s="1004">
        <v>5</v>
      </c>
      <c r="L200" s="1004">
        <f t="shared" ref="L200:Q200" si="185">I50</f>
        <v>850</v>
      </c>
      <c r="M200" s="1004">
        <f t="shared" si="185"/>
        <v>9.9999999999999995E-7</v>
      </c>
      <c r="N200" s="1004">
        <f t="shared" si="185"/>
        <v>9.9999999999999995E-7</v>
      </c>
      <c r="O200" s="1004">
        <f t="shared" si="185"/>
        <v>0</v>
      </c>
      <c r="P200" s="1004">
        <f t="shared" si="185"/>
        <v>0</v>
      </c>
      <c r="Q200" s="1004">
        <f t="shared" si="185"/>
        <v>2.9</v>
      </c>
    </row>
    <row r="201" spans="1:17" x14ac:dyDescent="0.2">
      <c r="A201" s="1383"/>
      <c r="B201" s="1004">
        <v>6</v>
      </c>
      <c r="C201" s="1004">
        <f t="shared" ref="C201:H201" si="186">P42</f>
        <v>250</v>
      </c>
      <c r="D201" s="1004">
        <f t="shared" si="186"/>
        <v>9.9999999999999995E-7</v>
      </c>
      <c r="E201" s="1004">
        <f t="shared" si="186"/>
        <v>9.9999999999999995E-7</v>
      </c>
      <c r="F201" s="1004">
        <f t="shared" si="186"/>
        <v>0</v>
      </c>
      <c r="G201" s="1004">
        <f t="shared" si="186"/>
        <v>0</v>
      </c>
      <c r="H201" s="1004">
        <f t="shared" si="186"/>
        <v>0</v>
      </c>
      <c r="J201" s="1383"/>
      <c r="K201" s="1004">
        <v>6</v>
      </c>
      <c r="L201" s="1004">
        <f t="shared" ref="L201:Q201" si="187">P50</f>
        <v>1000</v>
      </c>
      <c r="M201" s="1004">
        <f t="shared" si="187"/>
        <v>9.9999999999999995E-7</v>
      </c>
      <c r="N201" s="1004">
        <f t="shared" si="187"/>
        <v>9.9999999999999995E-7</v>
      </c>
      <c r="O201" s="1004">
        <f t="shared" si="187"/>
        <v>0</v>
      </c>
      <c r="P201" s="1004">
        <f t="shared" si="187"/>
        <v>0</v>
      </c>
      <c r="Q201" s="1004">
        <f t="shared" si="187"/>
        <v>2.9</v>
      </c>
    </row>
    <row r="202" spans="1:17" x14ac:dyDescent="0.2">
      <c r="A202" s="1383"/>
      <c r="B202" s="1004">
        <v>7</v>
      </c>
      <c r="C202" s="1004">
        <f t="shared" ref="C202:H202" si="188">B73</f>
        <v>240.38</v>
      </c>
      <c r="D202" s="1004">
        <f t="shared" si="188"/>
        <v>0.38</v>
      </c>
      <c r="E202" s="1004">
        <f t="shared" si="188"/>
        <v>9.9999999999999995E-7</v>
      </c>
      <c r="F202" s="1004">
        <f t="shared" si="188"/>
        <v>0</v>
      </c>
      <c r="G202" s="1004">
        <f t="shared" si="188"/>
        <v>0.18999950000000002</v>
      </c>
      <c r="H202" s="1004">
        <f t="shared" si="188"/>
        <v>2.88456</v>
      </c>
      <c r="J202" s="1383"/>
      <c r="K202" s="1004">
        <v>7</v>
      </c>
      <c r="L202" s="1004">
        <f t="shared" ref="L202:Q202" si="189">B81</f>
        <v>1000</v>
      </c>
      <c r="M202" s="1004">
        <f t="shared" si="189"/>
        <v>9.9999999999999995E-7</v>
      </c>
      <c r="N202" s="1004">
        <f t="shared" si="189"/>
        <v>9.9999999999999995E-7</v>
      </c>
      <c r="O202" s="1004">
        <f t="shared" si="189"/>
        <v>0</v>
      </c>
      <c r="P202" s="1004">
        <f t="shared" si="189"/>
        <v>0</v>
      </c>
      <c r="Q202" s="1004">
        <f t="shared" si="189"/>
        <v>2.95</v>
      </c>
    </row>
    <row r="203" spans="1:17" x14ac:dyDescent="0.2">
      <c r="A203" s="1383"/>
      <c r="B203" s="1004">
        <v>8</v>
      </c>
      <c r="C203" s="1004">
        <f t="shared" ref="C203:H203" si="190">I73</f>
        <v>250</v>
      </c>
      <c r="D203" s="1004">
        <f t="shared" si="190"/>
        <v>9.9999999999999995E-7</v>
      </c>
      <c r="E203" s="1004">
        <f t="shared" si="190"/>
        <v>-0.49</v>
      </c>
      <c r="F203" s="1004">
        <f t="shared" si="190"/>
        <v>0</v>
      </c>
      <c r="G203" s="1004">
        <f t="shared" si="190"/>
        <v>0.24500049999999998</v>
      </c>
      <c r="H203" s="1004">
        <f t="shared" si="190"/>
        <v>3</v>
      </c>
      <c r="J203" s="1383"/>
      <c r="K203" s="1004">
        <v>8</v>
      </c>
      <c r="L203" s="1004">
        <f t="shared" ref="L203:Q203" si="191">I81</f>
        <v>1000</v>
      </c>
      <c r="M203" s="1004">
        <f t="shared" si="191"/>
        <v>-74</v>
      </c>
      <c r="N203" s="1004">
        <f t="shared" si="191"/>
        <v>9.9999999999999995E-7</v>
      </c>
      <c r="O203" s="1004">
        <f t="shared" si="191"/>
        <v>0</v>
      </c>
      <c r="P203" s="1004">
        <f t="shared" si="191"/>
        <v>37.000000499999999</v>
      </c>
      <c r="Q203" s="1004">
        <f t="shared" si="191"/>
        <v>5.8999999999999995</v>
      </c>
    </row>
    <row r="204" spans="1:17" x14ac:dyDescent="0.2">
      <c r="A204" s="1383"/>
      <c r="B204" s="1004">
        <v>9</v>
      </c>
      <c r="C204" s="1004">
        <f t="shared" ref="C204:H204" si="192">P73</f>
        <v>239.61</v>
      </c>
      <c r="D204" s="1004">
        <f t="shared" si="192"/>
        <v>-0.39</v>
      </c>
      <c r="E204" s="1004" t="str">
        <f t="shared" si="192"/>
        <v>-</v>
      </c>
      <c r="F204" s="1004">
        <f t="shared" si="192"/>
        <v>0</v>
      </c>
      <c r="G204" s="1004">
        <f t="shared" si="192"/>
        <v>0</v>
      </c>
      <c r="H204" s="1004">
        <f t="shared" si="192"/>
        <v>2.8753200000000003</v>
      </c>
      <c r="J204" s="1383"/>
      <c r="K204" s="1004">
        <v>9</v>
      </c>
      <c r="L204" s="1004">
        <f t="shared" ref="L204:Q204" si="193">P81</f>
        <v>920</v>
      </c>
      <c r="M204" s="1004">
        <f t="shared" si="193"/>
        <v>9.9999999999999995E-7</v>
      </c>
      <c r="N204" s="1004" t="str">
        <f t="shared" si="193"/>
        <v>-</v>
      </c>
      <c r="O204" s="1004">
        <f t="shared" si="193"/>
        <v>0</v>
      </c>
      <c r="P204" s="1004">
        <f t="shared" si="193"/>
        <v>0</v>
      </c>
      <c r="Q204" s="1004">
        <f t="shared" si="193"/>
        <v>2.99</v>
      </c>
    </row>
    <row r="205" spans="1:17" x14ac:dyDescent="0.2">
      <c r="A205" s="1383"/>
      <c r="B205" s="1004">
        <v>10</v>
      </c>
      <c r="C205" s="1004">
        <f>B104</f>
        <v>250</v>
      </c>
      <c r="D205" s="1004" t="str">
        <f t="shared" ref="D205:F205" si="194">C104</f>
        <v>-</v>
      </c>
      <c r="E205" s="1004" t="str">
        <f t="shared" si="194"/>
        <v>-</v>
      </c>
      <c r="F205" s="1004" t="str">
        <f t="shared" si="194"/>
        <v>-</v>
      </c>
      <c r="G205" s="1004">
        <f>F104</f>
        <v>0</v>
      </c>
      <c r="H205" s="1004" t="str">
        <f>G104</f>
        <v>-</v>
      </c>
      <c r="J205" s="1383"/>
      <c r="K205" s="1004">
        <v>10</v>
      </c>
      <c r="L205" s="1004">
        <f t="shared" ref="L205:Q205" si="195">B112</f>
        <v>1000</v>
      </c>
      <c r="M205" s="1004" t="str">
        <f t="shared" si="195"/>
        <v>-</v>
      </c>
      <c r="N205" s="1004" t="str">
        <f t="shared" si="195"/>
        <v>-</v>
      </c>
      <c r="O205" s="1004">
        <f t="shared" si="195"/>
        <v>0</v>
      </c>
      <c r="P205" s="1004">
        <f t="shared" si="195"/>
        <v>0</v>
      </c>
      <c r="Q205" s="1004" t="str">
        <f t="shared" si="195"/>
        <v>-</v>
      </c>
    </row>
    <row r="206" spans="1:17" x14ac:dyDescent="0.2">
      <c r="A206" s="1383"/>
      <c r="B206" s="1004">
        <v>11</v>
      </c>
      <c r="C206" s="1004">
        <f>I104</f>
        <v>250</v>
      </c>
      <c r="D206" s="1004" t="str">
        <f t="shared" ref="D206:F206" si="196">J104</f>
        <v>-</v>
      </c>
      <c r="E206" s="1004" t="str">
        <f t="shared" si="196"/>
        <v>-</v>
      </c>
      <c r="F206" s="1004">
        <f t="shared" si="196"/>
        <v>0</v>
      </c>
      <c r="G206" s="1004">
        <f>M104</f>
        <v>0</v>
      </c>
      <c r="H206" s="1004" t="str">
        <f>N104</f>
        <v>-</v>
      </c>
      <c r="J206" s="1383"/>
      <c r="K206" s="1004">
        <v>11</v>
      </c>
      <c r="L206" s="1004">
        <f t="shared" ref="L206:Q206" si="197">I112</f>
        <v>1000</v>
      </c>
      <c r="M206" s="1004" t="str">
        <f t="shared" si="197"/>
        <v>-</v>
      </c>
      <c r="N206" s="1004" t="str">
        <f t="shared" si="197"/>
        <v>-</v>
      </c>
      <c r="O206" s="1004">
        <f t="shared" si="197"/>
        <v>0</v>
      </c>
      <c r="P206" s="1004">
        <f t="shared" si="197"/>
        <v>0</v>
      </c>
      <c r="Q206" s="1004" t="str">
        <f t="shared" si="197"/>
        <v>-</v>
      </c>
    </row>
    <row r="207" spans="1:17" x14ac:dyDescent="0.2">
      <c r="A207" s="1383"/>
      <c r="B207" s="1004">
        <v>12</v>
      </c>
      <c r="C207" s="1004">
        <f>P104</f>
        <v>250</v>
      </c>
      <c r="D207" s="1004" t="str">
        <f t="shared" ref="D207:F207" si="198">Q104</f>
        <v>-</v>
      </c>
      <c r="E207" s="1004" t="str">
        <f t="shared" si="198"/>
        <v>-</v>
      </c>
      <c r="F207" s="1004">
        <f t="shared" si="198"/>
        <v>0</v>
      </c>
      <c r="G207" s="1004">
        <f>T104</f>
        <v>0</v>
      </c>
      <c r="H207" s="1004" t="str">
        <f>U104</f>
        <v>-</v>
      </c>
      <c r="J207" s="1383"/>
      <c r="K207" s="1004">
        <v>12</v>
      </c>
      <c r="L207" s="1004">
        <f t="shared" ref="L207:Q207" si="199">P112</f>
        <v>1000</v>
      </c>
      <c r="M207" s="1004" t="str">
        <f t="shared" si="199"/>
        <v>-</v>
      </c>
      <c r="N207" s="1004" t="str">
        <f t="shared" si="199"/>
        <v>-</v>
      </c>
      <c r="O207" s="1004">
        <f t="shared" si="199"/>
        <v>0</v>
      </c>
      <c r="P207" s="1004">
        <f t="shared" si="199"/>
        <v>0</v>
      </c>
      <c r="Q207" s="1004" t="str">
        <f t="shared" si="199"/>
        <v>-</v>
      </c>
    </row>
    <row r="208" spans="1:17" x14ac:dyDescent="0.2">
      <c r="A208" s="998"/>
      <c r="B208" s="974"/>
      <c r="C208" s="974"/>
      <c r="D208" s="998"/>
      <c r="E208" s="998"/>
      <c r="F208" s="998"/>
      <c r="G208" s="998"/>
      <c r="H208" s="998"/>
      <c r="J208" s="998"/>
      <c r="K208" s="998"/>
      <c r="L208" s="998"/>
      <c r="M208" s="998"/>
      <c r="N208" s="998"/>
      <c r="O208" s="998"/>
      <c r="P208" s="998"/>
      <c r="Q208" s="998"/>
    </row>
    <row r="209" spans="1:17" ht="14.25" x14ac:dyDescent="0.2">
      <c r="A209" s="1379" t="s">
        <v>369</v>
      </c>
      <c r="B209" s="1380"/>
      <c r="C209" s="1381" t="s">
        <v>350</v>
      </c>
      <c r="D209" s="1381"/>
      <c r="E209" s="1381"/>
      <c r="F209" s="1381"/>
      <c r="G209" s="1381"/>
      <c r="H209" s="1381"/>
      <c r="J209" s="1379" t="s">
        <v>369</v>
      </c>
      <c r="K209" s="1380"/>
      <c r="L209" s="1382" t="s">
        <v>350</v>
      </c>
      <c r="M209" s="1382"/>
      <c r="N209" s="1382"/>
      <c r="O209" s="1382"/>
      <c r="P209" s="1382"/>
      <c r="Q209" s="1382"/>
    </row>
    <row r="210" spans="1:17" ht="13.15" customHeight="1" x14ac:dyDescent="0.2">
      <c r="A210" s="1379"/>
      <c r="B210" s="1380"/>
      <c r="C210" s="1363" t="str">
        <f>B20</f>
        <v>Main-PE</v>
      </c>
      <c r="D210" s="1363"/>
      <c r="E210" s="1363"/>
      <c r="F210" s="1363"/>
      <c r="G210" s="1011" t="s">
        <v>352</v>
      </c>
      <c r="H210" s="1011" t="s">
        <v>284</v>
      </c>
      <c r="J210" s="1379"/>
      <c r="K210" s="1380"/>
      <c r="L210" s="1363" t="str">
        <f>B26</f>
        <v>Resistance</v>
      </c>
      <c r="M210" s="1363"/>
      <c r="N210" s="1363"/>
      <c r="O210" s="1363"/>
      <c r="P210" s="1011" t="s">
        <v>352</v>
      </c>
      <c r="Q210" s="1011" t="s">
        <v>284</v>
      </c>
    </row>
    <row r="211" spans="1:17" ht="15" x14ac:dyDescent="0.2">
      <c r="A211" s="1379"/>
      <c r="B211" s="1380"/>
      <c r="C211" s="1012" t="s">
        <v>564</v>
      </c>
      <c r="D211" s="1011"/>
      <c r="E211" s="1011"/>
      <c r="F211" s="998"/>
      <c r="G211" s="1011"/>
      <c r="H211" s="1011"/>
      <c r="J211" s="1379"/>
      <c r="K211" s="1380"/>
      <c r="L211" s="1012" t="s">
        <v>565</v>
      </c>
      <c r="M211" s="1011"/>
      <c r="N211" s="1011"/>
      <c r="O211" s="998"/>
      <c r="P211" s="1011"/>
      <c r="Q211" s="1011"/>
    </row>
    <row r="212" spans="1:17" ht="15" x14ac:dyDescent="0.2">
      <c r="A212" s="1375" t="s">
        <v>51</v>
      </c>
      <c r="B212" s="1004">
        <v>1</v>
      </c>
      <c r="C212" s="1004">
        <f t="shared" ref="C212:H212" si="200">B22</f>
        <v>10</v>
      </c>
      <c r="D212" s="1004">
        <f t="shared" si="200"/>
        <v>-1E-3</v>
      </c>
      <c r="E212" s="1004">
        <f t="shared" si="200"/>
        <v>9.9999999999999995E-7</v>
      </c>
      <c r="F212" s="1004" t="str">
        <f t="shared" si="200"/>
        <v>-</v>
      </c>
      <c r="G212" s="1004">
        <f t="shared" si="200"/>
        <v>5.0049999999999997E-4</v>
      </c>
      <c r="H212" s="1004">
        <f t="shared" si="200"/>
        <v>0</v>
      </c>
      <c r="J212" s="1375" t="s">
        <v>51</v>
      </c>
      <c r="K212" s="1004">
        <v>1</v>
      </c>
      <c r="L212" s="1005">
        <f t="shared" ref="L212:Q212" si="201">B28</f>
        <v>0</v>
      </c>
      <c r="M212" s="1005">
        <f t="shared" si="201"/>
        <v>9.9999999999999995E-7</v>
      </c>
      <c r="N212" s="1005">
        <f t="shared" si="201"/>
        <v>9.9999999999999995E-7</v>
      </c>
      <c r="O212" s="1005" t="str">
        <f t="shared" si="201"/>
        <v>-</v>
      </c>
      <c r="P212" s="1005">
        <f t="shared" si="201"/>
        <v>0</v>
      </c>
      <c r="Q212" s="1005">
        <f t="shared" si="201"/>
        <v>0</v>
      </c>
    </row>
    <row r="213" spans="1:17" x14ac:dyDescent="0.2">
      <c r="A213" s="1375"/>
      <c r="B213" s="1004">
        <v>2</v>
      </c>
      <c r="C213" s="1004">
        <f t="shared" ref="C213:H213" si="202">I22</f>
        <v>10</v>
      </c>
      <c r="D213" s="1004">
        <f t="shared" si="202"/>
        <v>0.1</v>
      </c>
      <c r="E213" s="1004">
        <f t="shared" si="202"/>
        <v>9.9999999999999995E-7</v>
      </c>
      <c r="F213" s="1004" t="str">
        <f t="shared" si="202"/>
        <v>-</v>
      </c>
      <c r="G213" s="1004">
        <f t="shared" si="202"/>
        <v>4.9999500000000002E-2</v>
      </c>
      <c r="H213" s="1004">
        <f t="shared" si="202"/>
        <v>5.8999999999999997E-2</v>
      </c>
      <c r="J213" s="1375"/>
      <c r="K213" s="1004">
        <v>2</v>
      </c>
      <c r="L213" s="1004">
        <f t="shared" ref="L213:Q213" si="203">I28</f>
        <v>0.01</v>
      </c>
      <c r="M213" s="1004">
        <f t="shared" si="203"/>
        <v>9.9999999999999995E-7</v>
      </c>
      <c r="N213" s="1004">
        <f t="shared" si="203"/>
        <v>9.9999999999999995E-7</v>
      </c>
      <c r="O213" s="1004" t="str">
        <f t="shared" si="203"/>
        <v>-</v>
      </c>
      <c r="P213" s="1004">
        <f t="shared" si="203"/>
        <v>0</v>
      </c>
      <c r="Q213" s="1004">
        <f t="shared" si="203"/>
        <v>1.2E-4</v>
      </c>
    </row>
    <row r="214" spans="1:17" x14ac:dyDescent="0.2">
      <c r="A214" s="1375"/>
      <c r="B214" s="1004">
        <v>3</v>
      </c>
      <c r="C214" s="1004">
        <f t="shared" ref="C214:H214" si="204">P22</f>
        <v>5</v>
      </c>
      <c r="D214" s="1004">
        <f t="shared" si="204"/>
        <v>9.9999999999999995E-7</v>
      </c>
      <c r="E214" s="1004">
        <f t="shared" si="204"/>
        <v>9.9999999999999995E-7</v>
      </c>
      <c r="F214" s="1004">
        <f t="shared" si="204"/>
        <v>9.9999999999999995E-7</v>
      </c>
      <c r="G214" s="1004">
        <f t="shared" si="204"/>
        <v>0</v>
      </c>
      <c r="H214" s="1004">
        <f t="shared" si="204"/>
        <v>8.5000000000000006E-2</v>
      </c>
      <c r="J214" s="1375"/>
      <c r="K214" s="1004">
        <v>3</v>
      </c>
      <c r="L214" s="1004">
        <f t="shared" ref="L214:Q214" si="205">P28</f>
        <v>9.9999999999999995E-7</v>
      </c>
      <c r="M214" s="1004">
        <f t="shared" si="205"/>
        <v>-1E-3</v>
      </c>
      <c r="N214" s="1004">
        <f t="shared" si="205"/>
        <v>9.9999999999999995E-7</v>
      </c>
      <c r="O214" s="1004">
        <f t="shared" si="205"/>
        <v>9.9999999999999995E-7</v>
      </c>
      <c r="P214" s="1004">
        <f t="shared" si="205"/>
        <v>5.0049999999999997E-4</v>
      </c>
      <c r="Q214" s="1004">
        <f t="shared" si="205"/>
        <v>1.2E-8</v>
      </c>
    </row>
    <row r="215" spans="1:17" x14ac:dyDescent="0.2">
      <c r="A215" s="1375"/>
      <c r="B215" s="1004">
        <v>4</v>
      </c>
      <c r="C215" s="1004">
        <f t="shared" ref="C215:H215" si="206">B53</f>
        <v>10</v>
      </c>
      <c r="D215" s="1004">
        <f t="shared" si="206"/>
        <v>9.9999999999999995E-7</v>
      </c>
      <c r="E215" s="1004">
        <f t="shared" si="206"/>
        <v>0.1</v>
      </c>
      <c r="F215" s="1004">
        <f t="shared" si="206"/>
        <v>0</v>
      </c>
      <c r="G215" s="1004">
        <f t="shared" si="206"/>
        <v>4.9999500000000002E-2</v>
      </c>
      <c r="H215" s="1004">
        <f t="shared" si="206"/>
        <v>0.17</v>
      </c>
      <c r="J215" s="1375"/>
      <c r="K215" s="1004">
        <v>4</v>
      </c>
      <c r="L215" s="1004">
        <f t="shared" ref="L215:Q215" si="207">B59</f>
        <v>0.01</v>
      </c>
      <c r="M215" s="1004">
        <f t="shared" si="207"/>
        <v>9.9999999999999995E-7</v>
      </c>
      <c r="N215" s="1004">
        <f t="shared" si="207"/>
        <v>9.9999999999999995E-7</v>
      </c>
      <c r="O215" s="1004">
        <f t="shared" si="207"/>
        <v>0</v>
      </c>
      <c r="P215" s="1004">
        <f t="shared" si="207"/>
        <v>0</v>
      </c>
      <c r="Q215" s="1004">
        <f t="shared" si="207"/>
        <v>0</v>
      </c>
    </row>
    <row r="216" spans="1:17" x14ac:dyDescent="0.2">
      <c r="A216" s="1375"/>
      <c r="B216" s="1004">
        <v>5</v>
      </c>
      <c r="C216" s="1004">
        <f t="shared" ref="C216:H216" si="208">I53</f>
        <v>10</v>
      </c>
      <c r="D216" s="1004">
        <f t="shared" si="208"/>
        <v>9.9999999999999995E-7</v>
      </c>
      <c r="E216" s="1004">
        <f t="shared" si="208"/>
        <v>0.1</v>
      </c>
      <c r="F216" s="1004">
        <f t="shared" si="208"/>
        <v>0</v>
      </c>
      <c r="G216" s="1004">
        <f t="shared" si="208"/>
        <v>4.9999500000000002E-2</v>
      </c>
      <c r="H216" s="1004">
        <f t="shared" si="208"/>
        <v>0.17</v>
      </c>
      <c r="J216" s="1375"/>
      <c r="K216" s="1004">
        <v>5</v>
      </c>
      <c r="L216" s="1004">
        <f t="shared" ref="L216:Q216" si="209">I59</f>
        <v>0.01</v>
      </c>
      <c r="M216" s="1004">
        <f t="shared" si="209"/>
        <v>9.9999999999999995E-7</v>
      </c>
      <c r="N216" s="1004">
        <f t="shared" si="209"/>
        <v>9.9999999999999995E-7</v>
      </c>
      <c r="O216" s="1004">
        <f t="shared" si="209"/>
        <v>0</v>
      </c>
      <c r="P216" s="1004">
        <f t="shared" si="209"/>
        <v>0</v>
      </c>
      <c r="Q216" s="1004">
        <f t="shared" si="209"/>
        <v>1.2E-4</v>
      </c>
    </row>
    <row r="217" spans="1:17" x14ac:dyDescent="0.2">
      <c r="A217" s="1375"/>
      <c r="B217" s="1004">
        <v>6</v>
      </c>
      <c r="C217" s="1004">
        <f t="shared" ref="C217:H217" si="210">P53</f>
        <v>10</v>
      </c>
      <c r="D217" s="1004">
        <f t="shared" si="210"/>
        <v>0.1</v>
      </c>
      <c r="E217" s="1004">
        <f t="shared" si="210"/>
        <v>9.9999999999999995E-7</v>
      </c>
      <c r="F217" s="1004">
        <f t="shared" si="210"/>
        <v>0</v>
      </c>
      <c r="G217" s="1004">
        <f t="shared" si="210"/>
        <v>4.9999500000000002E-2</v>
      </c>
      <c r="H217" s="1004">
        <f t="shared" si="210"/>
        <v>0.17</v>
      </c>
      <c r="J217" s="1375"/>
      <c r="K217" s="1004">
        <v>6</v>
      </c>
      <c r="L217" s="1004">
        <f t="shared" ref="L217:Q217" si="211">P59</f>
        <v>0.01</v>
      </c>
      <c r="M217" s="1004">
        <f t="shared" si="211"/>
        <v>9.9999999999999995E-7</v>
      </c>
      <c r="N217" s="1004">
        <f t="shared" si="211"/>
        <v>9.9999999999999995E-7</v>
      </c>
      <c r="O217" s="1004">
        <f t="shared" si="211"/>
        <v>0</v>
      </c>
      <c r="P217" s="1004">
        <f t="shared" si="211"/>
        <v>0</v>
      </c>
      <c r="Q217" s="1004">
        <f t="shared" si="211"/>
        <v>1.2E-4</v>
      </c>
    </row>
    <row r="218" spans="1:17" x14ac:dyDescent="0.2">
      <c r="A218" s="1375"/>
      <c r="B218" s="1004">
        <v>7</v>
      </c>
      <c r="C218" s="1004">
        <f t="shared" ref="C218:H218" si="212">B84</f>
        <v>10</v>
      </c>
      <c r="D218" s="1004">
        <f t="shared" si="212"/>
        <v>9.9999999999999995E-7</v>
      </c>
      <c r="E218" s="1004">
        <f t="shared" si="212"/>
        <v>9.9999999999999995E-7</v>
      </c>
      <c r="F218" s="1004">
        <f t="shared" si="212"/>
        <v>0</v>
      </c>
      <c r="G218" s="1004">
        <f t="shared" si="212"/>
        <v>0</v>
      </c>
      <c r="H218" s="1004">
        <f t="shared" si="212"/>
        <v>0.17</v>
      </c>
      <c r="J218" s="1375"/>
      <c r="K218" s="1004">
        <v>7</v>
      </c>
      <c r="L218" s="1004">
        <f t="shared" ref="L218:Q218" si="213">B90</f>
        <v>0.01</v>
      </c>
      <c r="M218" s="1004">
        <f t="shared" si="213"/>
        <v>9.9999999999999995E-7</v>
      </c>
      <c r="N218" s="1004">
        <f t="shared" si="213"/>
        <v>9.9999999999999995E-7</v>
      </c>
      <c r="O218" s="1004">
        <f t="shared" si="213"/>
        <v>0</v>
      </c>
      <c r="P218" s="1004">
        <f t="shared" si="213"/>
        <v>0</v>
      </c>
      <c r="Q218" s="1004">
        <f t="shared" si="213"/>
        <v>0.01</v>
      </c>
    </row>
    <row r="219" spans="1:17" x14ac:dyDescent="0.2">
      <c r="A219" s="1375"/>
      <c r="B219" s="1004">
        <v>8</v>
      </c>
      <c r="C219" s="1004">
        <f t="shared" ref="C219:H219" si="214">I84</f>
        <v>10</v>
      </c>
      <c r="D219" s="1004">
        <f t="shared" si="214"/>
        <v>9.9999999999999995E-7</v>
      </c>
      <c r="E219" s="1004">
        <f t="shared" si="214"/>
        <v>9.9999999999999995E-7</v>
      </c>
      <c r="F219" s="1004">
        <f t="shared" si="214"/>
        <v>0</v>
      </c>
      <c r="G219" s="1004">
        <f t="shared" si="214"/>
        <v>0</v>
      </c>
      <c r="H219" s="1004">
        <f t="shared" si="214"/>
        <v>0.17</v>
      </c>
      <c r="J219" s="1375"/>
      <c r="K219" s="1004">
        <v>8</v>
      </c>
      <c r="L219" s="1004">
        <f t="shared" ref="L219:Q219" si="215">I90</f>
        <v>0.1</v>
      </c>
      <c r="M219" s="1004">
        <f t="shared" si="215"/>
        <v>-1E-3</v>
      </c>
      <c r="N219" s="1004">
        <f t="shared" si="215"/>
        <v>-1E-3</v>
      </c>
      <c r="O219" s="1004">
        <f t="shared" si="215"/>
        <v>0</v>
      </c>
      <c r="P219" s="1004">
        <f t="shared" si="215"/>
        <v>0</v>
      </c>
      <c r="Q219" s="1004">
        <f t="shared" si="215"/>
        <v>1.2000000000000001E-3</v>
      </c>
    </row>
    <row r="220" spans="1:17" x14ac:dyDescent="0.2">
      <c r="A220" s="1375"/>
      <c r="B220" s="1004">
        <v>9</v>
      </c>
      <c r="C220" s="1004">
        <f t="shared" ref="C220:H220" si="216">P84</f>
        <v>10</v>
      </c>
      <c r="D220" s="1004">
        <f t="shared" si="216"/>
        <v>9.9999999999999995E-7</v>
      </c>
      <c r="E220" s="1004" t="str">
        <f t="shared" si="216"/>
        <v>-</v>
      </c>
      <c r="F220" s="1004">
        <f t="shared" si="216"/>
        <v>0</v>
      </c>
      <c r="G220" s="1004">
        <f t="shared" si="216"/>
        <v>0</v>
      </c>
      <c r="H220" s="1004">
        <f t="shared" si="216"/>
        <v>0</v>
      </c>
      <c r="J220" s="1375"/>
      <c r="K220" s="1004">
        <v>9</v>
      </c>
      <c r="L220" s="1004">
        <f t="shared" ref="L220:Q220" si="217">P90</f>
        <v>1E-3</v>
      </c>
      <c r="M220" s="1004">
        <f t="shared" si="217"/>
        <v>-1E-3</v>
      </c>
      <c r="N220" s="1004" t="str">
        <f t="shared" si="217"/>
        <v>-</v>
      </c>
      <c r="O220" s="1004">
        <f t="shared" si="217"/>
        <v>0</v>
      </c>
      <c r="P220" s="1004">
        <f t="shared" si="217"/>
        <v>0</v>
      </c>
      <c r="Q220" s="1004">
        <f t="shared" si="217"/>
        <v>1.2E-5</v>
      </c>
    </row>
    <row r="221" spans="1:17" x14ac:dyDescent="0.2">
      <c r="A221" s="1375"/>
      <c r="B221" s="1004">
        <v>10</v>
      </c>
      <c r="C221" s="1004">
        <f>B115</f>
        <v>10</v>
      </c>
      <c r="D221" s="1004" t="str">
        <f t="shared" ref="D221:F221" si="218">C115</f>
        <v>-</v>
      </c>
      <c r="E221" s="1004" t="str">
        <f t="shared" si="218"/>
        <v>-</v>
      </c>
      <c r="F221" s="1004">
        <f t="shared" si="218"/>
        <v>0</v>
      </c>
      <c r="G221" s="1004">
        <f>F115</f>
        <v>0</v>
      </c>
      <c r="H221" s="1004" t="str">
        <f>G115</f>
        <v>-</v>
      </c>
      <c r="J221" s="1375"/>
      <c r="K221" s="1004">
        <v>10</v>
      </c>
      <c r="L221" s="1004">
        <f t="shared" ref="L221:Q221" si="219">B121</f>
        <v>0</v>
      </c>
      <c r="M221" s="1004" t="str">
        <f t="shared" si="219"/>
        <v>-</v>
      </c>
      <c r="N221" s="1004" t="str">
        <f t="shared" si="219"/>
        <v>-</v>
      </c>
      <c r="O221" s="1004">
        <f t="shared" si="219"/>
        <v>0</v>
      </c>
      <c r="P221" s="1004">
        <f t="shared" si="219"/>
        <v>0</v>
      </c>
      <c r="Q221" s="1004" t="str">
        <f t="shared" si="219"/>
        <v>-</v>
      </c>
    </row>
    <row r="222" spans="1:17" x14ac:dyDescent="0.2">
      <c r="A222" s="1375"/>
      <c r="B222" s="1004">
        <v>11</v>
      </c>
      <c r="C222" s="1004">
        <f>I115</f>
        <v>10</v>
      </c>
      <c r="D222" s="1004" t="str">
        <f t="shared" ref="D222:F222" si="220">J115</f>
        <v>-</v>
      </c>
      <c r="E222" s="1004" t="str">
        <f t="shared" si="220"/>
        <v>-</v>
      </c>
      <c r="F222" s="1004">
        <f t="shared" si="220"/>
        <v>0</v>
      </c>
      <c r="G222" s="1004">
        <f>M115</f>
        <v>0</v>
      </c>
      <c r="H222" s="1004" t="str">
        <f>N115</f>
        <v>-</v>
      </c>
      <c r="J222" s="1375"/>
      <c r="K222" s="1004">
        <v>11</v>
      </c>
      <c r="L222" s="1004">
        <f t="shared" ref="L222:Q222" si="221">I121</f>
        <v>0.01</v>
      </c>
      <c r="M222" s="1004" t="str">
        <f t="shared" si="221"/>
        <v>-</v>
      </c>
      <c r="N222" s="1004" t="str">
        <f t="shared" si="221"/>
        <v>-</v>
      </c>
      <c r="O222" s="1004">
        <f t="shared" si="221"/>
        <v>0</v>
      </c>
      <c r="P222" s="1004">
        <f t="shared" si="221"/>
        <v>0</v>
      </c>
      <c r="Q222" s="1004" t="str">
        <f t="shared" si="221"/>
        <v>-</v>
      </c>
    </row>
    <row r="223" spans="1:17" x14ac:dyDescent="0.2">
      <c r="A223" s="1375"/>
      <c r="B223" s="1004">
        <v>12</v>
      </c>
      <c r="C223" s="1004">
        <f>P115</f>
        <v>10</v>
      </c>
      <c r="D223" s="1004" t="str">
        <f t="shared" ref="D223:F223" si="222">Q115</f>
        <v>-</v>
      </c>
      <c r="E223" s="1004" t="str">
        <f t="shared" si="222"/>
        <v>-</v>
      </c>
      <c r="F223" s="1004">
        <f t="shared" si="222"/>
        <v>0</v>
      </c>
      <c r="G223" s="1004">
        <f>T115</f>
        <v>0</v>
      </c>
      <c r="H223" s="1004" t="str">
        <f>U115</f>
        <v>-</v>
      </c>
      <c r="J223" s="1375"/>
      <c r="K223" s="1004">
        <v>12</v>
      </c>
      <c r="L223" s="1004">
        <f t="shared" ref="L223:Q223" si="223">P121</f>
        <v>0.01</v>
      </c>
      <c r="M223" s="1004" t="str">
        <f t="shared" si="223"/>
        <v>-</v>
      </c>
      <c r="N223" s="1004" t="str">
        <f t="shared" si="223"/>
        <v>-</v>
      </c>
      <c r="O223" s="1004">
        <f t="shared" si="223"/>
        <v>0</v>
      </c>
      <c r="P223" s="1004">
        <f t="shared" si="223"/>
        <v>0</v>
      </c>
      <c r="Q223" s="1004" t="str">
        <f t="shared" si="223"/>
        <v>-</v>
      </c>
    </row>
    <row r="224" spans="1:17" s="973" customFormat="1" x14ac:dyDescent="0.2">
      <c r="A224" s="1013"/>
      <c r="B224" s="1007"/>
      <c r="C224" s="1007"/>
      <c r="D224" s="1007"/>
      <c r="E224" s="1007"/>
      <c r="F224" s="1009"/>
      <c r="G224" s="1007"/>
      <c r="H224" s="1007"/>
      <c r="J224" s="1013"/>
      <c r="K224" s="1007"/>
      <c r="L224" s="1007"/>
      <c r="M224" s="1007"/>
      <c r="N224" s="1007"/>
      <c r="O224" s="1009"/>
      <c r="P224" s="1007"/>
      <c r="Q224" s="1007"/>
    </row>
    <row r="225" spans="1:17" x14ac:dyDescent="0.2">
      <c r="A225" s="1375" t="s">
        <v>52</v>
      </c>
      <c r="B225" s="1004">
        <v>1</v>
      </c>
      <c r="C225" s="1004">
        <f t="shared" ref="C225:H225" si="224">B23</f>
        <v>20</v>
      </c>
      <c r="D225" s="1004">
        <f t="shared" si="224"/>
        <v>9.9999999999999995E-7</v>
      </c>
      <c r="E225" s="1004">
        <f t="shared" si="224"/>
        <v>9.9999999999999995E-7</v>
      </c>
      <c r="F225" s="1004" t="str">
        <f t="shared" si="224"/>
        <v>-</v>
      </c>
      <c r="G225" s="1004">
        <f t="shared" si="224"/>
        <v>0</v>
      </c>
      <c r="H225" s="1004">
        <f t="shared" si="224"/>
        <v>0</v>
      </c>
      <c r="J225" s="1375" t="s">
        <v>52</v>
      </c>
      <c r="K225" s="1004">
        <v>1</v>
      </c>
      <c r="L225" s="1004">
        <f t="shared" ref="L225:Q225" si="225">B29</f>
        <v>0.1</v>
      </c>
      <c r="M225" s="1004">
        <f t="shared" si="225"/>
        <v>-1E-3</v>
      </c>
      <c r="N225" s="1004">
        <f t="shared" si="225"/>
        <v>2E-3</v>
      </c>
      <c r="O225" s="1004" t="str">
        <f t="shared" si="225"/>
        <v>-</v>
      </c>
      <c r="P225" s="1004">
        <f t="shared" si="225"/>
        <v>1.5E-3</v>
      </c>
      <c r="Q225" s="1004">
        <f t="shared" si="225"/>
        <v>1.2000000000000001E-3</v>
      </c>
    </row>
    <row r="226" spans="1:17" x14ac:dyDescent="0.2">
      <c r="A226" s="1375"/>
      <c r="B226" s="1004">
        <v>2</v>
      </c>
      <c r="C226" s="1004">
        <f t="shared" ref="C226:H226" si="226">I23</f>
        <v>20</v>
      </c>
      <c r="D226" s="1004">
        <f t="shared" si="226"/>
        <v>0.2</v>
      </c>
      <c r="E226" s="1004">
        <f t="shared" si="226"/>
        <v>0.1</v>
      </c>
      <c r="F226" s="1004" t="str">
        <f t="shared" si="226"/>
        <v>-</v>
      </c>
      <c r="G226" s="1004">
        <f t="shared" si="226"/>
        <v>0.05</v>
      </c>
      <c r="H226" s="1004">
        <f t="shared" si="226"/>
        <v>0.11799999999999999</v>
      </c>
      <c r="J226" s="1375"/>
      <c r="K226" s="1004">
        <v>2</v>
      </c>
      <c r="L226" s="1004">
        <f t="shared" ref="L226:Q226" si="227">I29</f>
        <v>0.1</v>
      </c>
      <c r="M226" s="1004">
        <f t="shared" si="227"/>
        <v>6.0000000000000001E-3</v>
      </c>
      <c r="N226" s="1004">
        <f t="shared" si="227"/>
        <v>5.0000000000000001E-3</v>
      </c>
      <c r="O226" s="1004" t="str">
        <f t="shared" si="227"/>
        <v>-</v>
      </c>
      <c r="P226" s="1004">
        <f t="shared" si="227"/>
        <v>5.0000000000000001E-4</v>
      </c>
      <c r="Q226" s="1004">
        <f t="shared" si="227"/>
        <v>1.2000000000000001E-3</v>
      </c>
    </row>
    <row r="227" spans="1:17" x14ac:dyDescent="0.2">
      <c r="A227" s="1375"/>
      <c r="B227" s="1004">
        <v>3</v>
      </c>
      <c r="C227" s="1004">
        <f t="shared" ref="C227:H227" si="228">P23</f>
        <v>10</v>
      </c>
      <c r="D227" s="1004">
        <f t="shared" si="228"/>
        <v>9.9999999999999995E-7</v>
      </c>
      <c r="E227" s="1004">
        <f t="shared" si="228"/>
        <v>9.9999999999999995E-7</v>
      </c>
      <c r="F227" s="1004">
        <f t="shared" si="228"/>
        <v>9.9999999999999995E-7</v>
      </c>
      <c r="G227" s="1004">
        <f t="shared" si="228"/>
        <v>0</v>
      </c>
      <c r="H227" s="1004">
        <f t="shared" si="228"/>
        <v>0.17</v>
      </c>
      <c r="J227" s="1375"/>
      <c r="K227" s="1004">
        <v>3</v>
      </c>
      <c r="L227" s="1004">
        <f t="shared" ref="L227:Q227" si="229">P29</f>
        <v>0.5</v>
      </c>
      <c r="M227" s="1004">
        <f t="shared" si="229"/>
        <v>-2E-3</v>
      </c>
      <c r="N227" s="1004">
        <f t="shared" si="229"/>
        <v>-1E-3</v>
      </c>
      <c r="O227" s="1004">
        <f t="shared" si="229"/>
        <v>9.9999999999999995E-7</v>
      </c>
      <c r="P227" s="1004">
        <f t="shared" si="229"/>
        <v>1.0005000000000001E-3</v>
      </c>
      <c r="Q227" s="1004">
        <f t="shared" si="229"/>
        <v>6.0000000000000001E-3</v>
      </c>
    </row>
    <row r="228" spans="1:17" x14ac:dyDescent="0.2">
      <c r="A228" s="1375"/>
      <c r="B228" s="1004">
        <v>4</v>
      </c>
      <c r="C228" s="1004">
        <f t="shared" ref="C228:H228" si="230">B54</f>
        <v>20</v>
      </c>
      <c r="D228" s="1004">
        <f t="shared" si="230"/>
        <v>0.1</v>
      </c>
      <c r="E228" s="1004">
        <f t="shared" si="230"/>
        <v>0.2</v>
      </c>
      <c r="F228" s="1004">
        <f t="shared" si="230"/>
        <v>0</v>
      </c>
      <c r="G228" s="1004">
        <f t="shared" si="230"/>
        <v>0.05</v>
      </c>
      <c r="H228" s="1004">
        <f t="shared" si="230"/>
        <v>0.34</v>
      </c>
      <c r="J228" s="1375"/>
      <c r="K228" s="1004">
        <v>4</v>
      </c>
      <c r="L228" s="1004">
        <f t="shared" ref="L228:Q228" si="231">B60</f>
        <v>0.1</v>
      </c>
      <c r="M228" s="1004">
        <f t="shared" si="231"/>
        <v>-2E-3</v>
      </c>
      <c r="N228" s="1004">
        <f t="shared" si="231"/>
        <v>9.9999999999999995E-7</v>
      </c>
      <c r="O228" s="1004">
        <f t="shared" si="231"/>
        <v>0</v>
      </c>
      <c r="P228" s="1004">
        <f t="shared" si="231"/>
        <v>1.0005000000000001E-3</v>
      </c>
      <c r="Q228" s="1004">
        <f t="shared" si="231"/>
        <v>1.2000000000000001E-3</v>
      </c>
    </row>
    <row r="229" spans="1:17" x14ac:dyDescent="0.2">
      <c r="A229" s="1375"/>
      <c r="B229" s="1004">
        <v>5</v>
      </c>
      <c r="C229" s="1004">
        <f t="shared" ref="C229:H229" si="232">I54</f>
        <v>20</v>
      </c>
      <c r="D229" s="1004">
        <f t="shared" si="232"/>
        <v>0.1</v>
      </c>
      <c r="E229" s="1004">
        <f t="shared" si="232"/>
        <v>0.1</v>
      </c>
      <c r="F229" s="1004">
        <f t="shared" si="232"/>
        <v>0</v>
      </c>
      <c r="G229" s="1004">
        <f t="shared" si="232"/>
        <v>0</v>
      </c>
      <c r="H229" s="1004">
        <f t="shared" si="232"/>
        <v>0.34</v>
      </c>
      <c r="J229" s="1375"/>
      <c r="K229" s="1004">
        <v>5</v>
      </c>
      <c r="L229" s="1004">
        <f t="shared" ref="L229:Q229" si="233">I60</f>
        <v>0.1</v>
      </c>
      <c r="M229" s="1004">
        <f t="shared" si="233"/>
        <v>5.0000000000000001E-3</v>
      </c>
      <c r="N229" s="1004">
        <f t="shared" si="233"/>
        <v>2E-3</v>
      </c>
      <c r="O229" s="1004">
        <f t="shared" si="233"/>
        <v>0</v>
      </c>
      <c r="P229" s="1004">
        <f t="shared" si="233"/>
        <v>1.5E-3</v>
      </c>
      <c r="Q229" s="1004">
        <f t="shared" si="233"/>
        <v>1.2000000000000001E-3</v>
      </c>
    </row>
    <row r="230" spans="1:17" x14ac:dyDescent="0.2">
      <c r="A230" s="1375"/>
      <c r="B230" s="1004">
        <v>6</v>
      </c>
      <c r="C230" s="1004">
        <f t="shared" ref="C230:H230" si="234">P54</f>
        <v>20</v>
      </c>
      <c r="D230" s="1004">
        <f t="shared" si="234"/>
        <v>0.1</v>
      </c>
      <c r="E230" s="1004">
        <f t="shared" si="234"/>
        <v>9.9999999999999995E-7</v>
      </c>
      <c r="F230" s="1004">
        <f t="shared" si="234"/>
        <v>0</v>
      </c>
      <c r="G230" s="1004">
        <f t="shared" si="234"/>
        <v>4.9999500000000002E-2</v>
      </c>
      <c r="H230" s="1004">
        <f t="shared" si="234"/>
        <v>0.34</v>
      </c>
      <c r="J230" s="1375"/>
      <c r="K230" s="1004">
        <v>6</v>
      </c>
      <c r="L230" s="1004">
        <f t="shared" ref="L230:Q230" si="235">P60</f>
        <v>0.1</v>
      </c>
      <c r="M230" s="1004">
        <f t="shared" si="235"/>
        <v>-2E-3</v>
      </c>
      <c r="N230" s="1004">
        <f t="shared" si="235"/>
        <v>6.0000000000000001E-3</v>
      </c>
      <c r="O230" s="1004">
        <f t="shared" si="235"/>
        <v>0</v>
      </c>
      <c r="P230" s="1004">
        <f t="shared" si="235"/>
        <v>4.0000000000000001E-3</v>
      </c>
      <c r="Q230" s="1004">
        <f t="shared" si="235"/>
        <v>1.2000000000000001E-3</v>
      </c>
    </row>
    <row r="231" spans="1:17" x14ac:dyDescent="0.2">
      <c r="A231" s="1375"/>
      <c r="B231" s="1004">
        <v>7</v>
      </c>
      <c r="C231" s="1004">
        <f t="shared" ref="C231:H231" si="236">B85</f>
        <v>20</v>
      </c>
      <c r="D231" s="1004">
        <f t="shared" si="236"/>
        <v>9.9999999999999995E-7</v>
      </c>
      <c r="E231" s="1004">
        <f t="shared" si="236"/>
        <v>0.1</v>
      </c>
      <c r="F231" s="1004">
        <f t="shared" si="236"/>
        <v>0</v>
      </c>
      <c r="G231" s="1004">
        <f t="shared" si="236"/>
        <v>4.9999500000000002E-2</v>
      </c>
      <c r="H231" s="1004">
        <f t="shared" si="236"/>
        <v>0.34</v>
      </c>
      <c r="J231" s="1375"/>
      <c r="K231" s="1004">
        <v>7</v>
      </c>
      <c r="L231" s="1004">
        <f t="shared" ref="L231:Q231" si="237">B91</f>
        <v>0.5</v>
      </c>
      <c r="M231" s="1004">
        <f t="shared" si="237"/>
        <v>9.9999999999999995E-7</v>
      </c>
      <c r="N231" s="1004">
        <f t="shared" si="237"/>
        <v>1E-3</v>
      </c>
      <c r="O231" s="1004">
        <f t="shared" si="237"/>
        <v>0</v>
      </c>
      <c r="P231" s="1004">
        <f t="shared" si="237"/>
        <v>4.9950000000000005E-4</v>
      </c>
      <c r="Q231" s="1004">
        <f t="shared" si="237"/>
        <v>6.0000000000000001E-3</v>
      </c>
    </row>
    <row r="232" spans="1:17" x14ac:dyDescent="0.2">
      <c r="A232" s="1375"/>
      <c r="B232" s="1004">
        <v>8</v>
      </c>
      <c r="C232" s="1004">
        <f t="shared" ref="C232:H232" si="238">I85</f>
        <v>20</v>
      </c>
      <c r="D232" s="1004">
        <f t="shared" si="238"/>
        <v>9.9999999999999995E-7</v>
      </c>
      <c r="E232" s="1004">
        <f t="shared" si="238"/>
        <v>9.9999999999999995E-7</v>
      </c>
      <c r="F232" s="1004">
        <f t="shared" si="238"/>
        <v>0</v>
      </c>
      <c r="G232" s="1004">
        <f t="shared" si="238"/>
        <v>0</v>
      </c>
      <c r="H232" s="1004">
        <f t="shared" si="238"/>
        <v>0.34</v>
      </c>
      <c r="J232" s="1375"/>
      <c r="K232" s="1004">
        <v>8</v>
      </c>
      <c r="L232" s="1004">
        <f t="shared" ref="L232:Q232" si="239">I91</f>
        <v>0.5</v>
      </c>
      <c r="M232" s="1004">
        <f t="shared" si="239"/>
        <v>4.0000000000000001E-3</v>
      </c>
      <c r="N232" s="1004">
        <f t="shared" si="239"/>
        <v>-3.0000000000000001E-3</v>
      </c>
      <c r="O232" s="1004">
        <f t="shared" si="239"/>
        <v>0</v>
      </c>
      <c r="P232" s="1004">
        <f t="shared" si="239"/>
        <v>3.5000000000000001E-3</v>
      </c>
      <c r="Q232" s="1004">
        <f t="shared" si="239"/>
        <v>6.0000000000000001E-3</v>
      </c>
    </row>
    <row r="233" spans="1:17" x14ac:dyDescent="0.2">
      <c r="A233" s="1375"/>
      <c r="B233" s="1004">
        <v>9</v>
      </c>
      <c r="C233" s="1004">
        <f t="shared" ref="C233:H233" si="240">P85</f>
        <v>20</v>
      </c>
      <c r="D233" s="1004">
        <f t="shared" si="240"/>
        <v>9.9999999999999995E-7</v>
      </c>
      <c r="E233" s="1004" t="str">
        <f t="shared" si="240"/>
        <v>-</v>
      </c>
      <c r="F233" s="1004">
        <f t="shared" si="240"/>
        <v>0</v>
      </c>
      <c r="G233" s="1004">
        <f t="shared" si="240"/>
        <v>0</v>
      </c>
      <c r="H233" s="1004">
        <f t="shared" si="240"/>
        <v>0</v>
      </c>
      <c r="J233" s="1375"/>
      <c r="K233" s="1004">
        <v>9</v>
      </c>
      <c r="L233" s="1004">
        <f t="shared" ref="L233:Q233" si="241">P91</f>
        <v>0.10199999999999999</v>
      </c>
      <c r="M233" s="1004">
        <f t="shared" si="241"/>
        <v>-2E-3</v>
      </c>
      <c r="N233" s="1004" t="str">
        <f t="shared" si="241"/>
        <v>-</v>
      </c>
      <c r="O233" s="1004">
        <f t="shared" si="241"/>
        <v>0</v>
      </c>
      <c r="P233" s="1004">
        <f t="shared" si="241"/>
        <v>0</v>
      </c>
      <c r="Q233" s="1004">
        <f t="shared" si="241"/>
        <v>1.224E-3</v>
      </c>
    </row>
    <row r="234" spans="1:17" x14ac:dyDescent="0.2">
      <c r="A234" s="1375"/>
      <c r="B234" s="1004">
        <v>10</v>
      </c>
      <c r="C234" s="1004">
        <f>B116</f>
        <v>20</v>
      </c>
      <c r="D234" s="1004" t="str">
        <f t="shared" ref="D234:F234" si="242">C116</f>
        <v>-</v>
      </c>
      <c r="E234" s="1004" t="str">
        <f t="shared" si="242"/>
        <v>-</v>
      </c>
      <c r="F234" s="1004">
        <f t="shared" si="242"/>
        <v>0</v>
      </c>
      <c r="G234" s="1004">
        <f>F116</f>
        <v>0</v>
      </c>
      <c r="H234" s="1004" t="str">
        <f>G116</f>
        <v>-</v>
      </c>
      <c r="J234" s="1375"/>
      <c r="K234" s="1004">
        <v>10</v>
      </c>
      <c r="L234" s="1004">
        <f t="shared" ref="L234:Q234" si="243">B122</f>
        <v>0.1</v>
      </c>
      <c r="M234" s="1004" t="str">
        <f t="shared" si="243"/>
        <v>-</v>
      </c>
      <c r="N234" s="1004" t="str">
        <f t="shared" si="243"/>
        <v>-</v>
      </c>
      <c r="O234" s="1004">
        <f t="shared" si="243"/>
        <v>0</v>
      </c>
      <c r="P234" s="1004">
        <f t="shared" si="243"/>
        <v>0</v>
      </c>
      <c r="Q234" s="1004" t="str">
        <f t="shared" si="243"/>
        <v>-</v>
      </c>
    </row>
    <row r="235" spans="1:17" x14ac:dyDescent="0.2">
      <c r="A235" s="1375"/>
      <c r="B235" s="1004">
        <v>11</v>
      </c>
      <c r="C235" s="1004">
        <f>I116</f>
        <v>20</v>
      </c>
      <c r="D235" s="1004" t="str">
        <f t="shared" ref="D235:F235" si="244">J116</f>
        <v>-</v>
      </c>
      <c r="E235" s="1004" t="str">
        <f t="shared" si="244"/>
        <v>-</v>
      </c>
      <c r="F235" s="1004">
        <f t="shared" si="244"/>
        <v>0</v>
      </c>
      <c r="G235" s="1004">
        <f>M116</f>
        <v>0</v>
      </c>
      <c r="H235" s="1004" t="str">
        <f>N116</f>
        <v>-</v>
      </c>
      <c r="J235" s="1375"/>
      <c r="K235" s="1004">
        <v>11</v>
      </c>
      <c r="L235" s="1004">
        <f t="shared" ref="L235:Q235" si="245">I122</f>
        <v>0.1</v>
      </c>
      <c r="M235" s="1004" t="str">
        <f t="shared" si="245"/>
        <v>-</v>
      </c>
      <c r="N235" s="1004" t="str">
        <f t="shared" si="245"/>
        <v>-</v>
      </c>
      <c r="O235" s="1004">
        <f t="shared" si="245"/>
        <v>0</v>
      </c>
      <c r="P235" s="1004">
        <f t="shared" si="245"/>
        <v>0</v>
      </c>
      <c r="Q235" s="1004" t="str">
        <f t="shared" si="245"/>
        <v>-</v>
      </c>
    </row>
    <row r="236" spans="1:17" x14ac:dyDescent="0.2">
      <c r="A236" s="1375"/>
      <c r="B236" s="1004">
        <v>12</v>
      </c>
      <c r="C236" s="1004">
        <f>P116</f>
        <v>20</v>
      </c>
      <c r="D236" s="1004" t="str">
        <f t="shared" ref="D236:F236" si="246">Q116</f>
        <v>-</v>
      </c>
      <c r="E236" s="1004" t="str">
        <f t="shared" si="246"/>
        <v>-</v>
      </c>
      <c r="F236" s="1004">
        <f t="shared" si="246"/>
        <v>0</v>
      </c>
      <c r="G236" s="1004">
        <f>T116</f>
        <v>0</v>
      </c>
      <c r="H236" s="1004" t="str">
        <f>U116</f>
        <v>-</v>
      </c>
      <c r="J236" s="1375"/>
      <c r="K236" s="1004">
        <v>12</v>
      </c>
      <c r="L236" s="1004">
        <f t="shared" ref="L236:Q236" si="247">P122</f>
        <v>0.1</v>
      </c>
      <c r="M236" s="1004" t="str">
        <f t="shared" si="247"/>
        <v>-</v>
      </c>
      <c r="N236" s="1004" t="str">
        <f t="shared" si="247"/>
        <v>-</v>
      </c>
      <c r="O236" s="1004">
        <f t="shared" si="247"/>
        <v>0</v>
      </c>
      <c r="P236" s="1004">
        <f t="shared" si="247"/>
        <v>0</v>
      </c>
      <c r="Q236" s="1004" t="str">
        <f t="shared" si="247"/>
        <v>-</v>
      </c>
    </row>
    <row r="237" spans="1:17" s="973" customFormat="1" x14ac:dyDescent="0.2">
      <c r="A237" s="1013"/>
      <c r="B237" s="1007"/>
      <c r="C237" s="1007"/>
      <c r="D237" s="1007"/>
      <c r="E237" s="1007"/>
      <c r="F237" s="1009"/>
      <c r="G237" s="1007"/>
      <c r="H237" s="1007"/>
      <c r="J237" s="1013"/>
      <c r="K237" s="1007"/>
      <c r="L237" s="1007"/>
      <c r="M237" s="1007"/>
      <c r="N237" s="1007"/>
      <c r="O237" s="1009"/>
      <c r="P237" s="1007"/>
      <c r="Q237" s="1007"/>
    </row>
    <row r="238" spans="1:17" x14ac:dyDescent="0.2">
      <c r="A238" s="1375" t="s">
        <v>53</v>
      </c>
      <c r="B238" s="1004">
        <v>1</v>
      </c>
      <c r="C238" s="1004">
        <f t="shared" ref="C238:H238" si="248">B24</f>
        <v>50</v>
      </c>
      <c r="D238" s="1004">
        <f t="shared" si="248"/>
        <v>9.9999999999999995E-7</v>
      </c>
      <c r="E238" s="1004">
        <f t="shared" si="248"/>
        <v>9.9999999999999995E-7</v>
      </c>
      <c r="F238" s="1004" t="str">
        <f t="shared" si="248"/>
        <v>-</v>
      </c>
      <c r="G238" s="1004">
        <f t="shared" si="248"/>
        <v>0</v>
      </c>
      <c r="H238" s="1004">
        <f t="shared" si="248"/>
        <v>0</v>
      </c>
      <c r="J238" s="1375" t="s">
        <v>53</v>
      </c>
      <c r="K238" s="1004">
        <v>1</v>
      </c>
      <c r="L238" s="1004">
        <f t="shared" ref="L238:Q238" si="249">B30</f>
        <v>1</v>
      </c>
      <c r="M238" s="1004">
        <f t="shared" si="249"/>
        <v>4.0000000000000001E-3</v>
      </c>
      <c r="N238" s="1004">
        <f t="shared" si="249"/>
        <v>1.2E-2</v>
      </c>
      <c r="O238" s="1004" t="str">
        <f t="shared" si="249"/>
        <v>-</v>
      </c>
      <c r="P238" s="1004">
        <f t="shared" si="249"/>
        <v>4.0000000000000001E-3</v>
      </c>
      <c r="Q238" s="1004">
        <f t="shared" si="249"/>
        <v>1.2E-2</v>
      </c>
    </row>
    <row r="239" spans="1:17" x14ac:dyDescent="0.2">
      <c r="A239" s="1375"/>
      <c r="B239" s="1004">
        <v>2</v>
      </c>
      <c r="C239" s="1004">
        <f t="shared" ref="C239:H239" si="250">I24</f>
        <v>50</v>
      </c>
      <c r="D239" s="1004">
        <f t="shared" si="250"/>
        <v>0.3</v>
      </c>
      <c r="E239" s="1004">
        <f t="shared" si="250"/>
        <v>0.1</v>
      </c>
      <c r="F239" s="1004" t="str">
        <f t="shared" si="250"/>
        <v>-</v>
      </c>
      <c r="G239" s="1004">
        <f t="shared" si="250"/>
        <v>9.9999999999999992E-2</v>
      </c>
      <c r="H239" s="1004">
        <f t="shared" si="250"/>
        <v>0.29499999999999998</v>
      </c>
      <c r="J239" s="1375"/>
      <c r="K239" s="1004">
        <v>2</v>
      </c>
      <c r="L239" s="1004">
        <f t="shared" ref="L239:Q239" si="251">I30</f>
        <v>1</v>
      </c>
      <c r="M239" s="1004">
        <f t="shared" si="251"/>
        <v>4.4999999999999998E-2</v>
      </c>
      <c r="N239" s="1004">
        <f t="shared" si="251"/>
        <v>5.5E-2</v>
      </c>
      <c r="O239" s="1004" t="str">
        <f t="shared" si="251"/>
        <v>-</v>
      </c>
      <c r="P239" s="1004">
        <f t="shared" si="251"/>
        <v>5.000000000000001E-3</v>
      </c>
      <c r="Q239" s="1004">
        <f t="shared" si="251"/>
        <v>1.2E-2</v>
      </c>
    </row>
    <row r="240" spans="1:17" x14ac:dyDescent="0.2">
      <c r="A240" s="1375"/>
      <c r="B240" s="1004">
        <v>3</v>
      </c>
      <c r="C240" s="1004">
        <f t="shared" ref="C240:H240" si="252">P24</f>
        <v>20</v>
      </c>
      <c r="D240" s="1004">
        <f t="shared" si="252"/>
        <v>9.9999999999999995E-7</v>
      </c>
      <c r="E240" s="1004">
        <f t="shared" si="252"/>
        <v>0.4</v>
      </c>
      <c r="F240" s="1004">
        <f t="shared" si="252"/>
        <v>0.3</v>
      </c>
      <c r="G240" s="1004">
        <f t="shared" si="252"/>
        <v>0.19999950000000002</v>
      </c>
      <c r="H240" s="1004">
        <f t="shared" si="252"/>
        <v>0.34</v>
      </c>
      <c r="J240" s="1375"/>
      <c r="K240" s="1004">
        <v>3</v>
      </c>
      <c r="L240" s="1004">
        <f t="shared" ref="L240:Q240" si="253">P30</f>
        <v>1</v>
      </c>
      <c r="M240" s="1004">
        <f t="shared" si="253"/>
        <v>-1.2E-2</v>
      </c>
      <c r="N240" s="1004">
        <f t="shared" si="253"/>
        <v>5.0000000000000001E-3</v>
      </c>
      <c r="O240" s="1004">
        <f t="shared" si="253"/>
        <v>9.9999999999999995E-7</v>
      </c>
      <c r="P240" s="1004">
        <f t="shared" si="253"/>
        <v>8.5000000000000006E-3</v>
      </c>
      <c r="Q240" s="1004">
        <f t="shared" si="253"/>
        <v>1.2E-2</v>
      </c>
    </row>
    <row r="241" spans="1:17" x14ac:dyDescent="0.2">
      <c r="A241" s="1375"/>
      <c r="B241" s="1004">
        <v>4</v>
      </c>
      <c r="C241" s="1004">
        <f t="shared" ref="C241:H241" si="254">B55</f>
        <v>50</v>
      </c>
      <c r="D241" s="1004">
        <f t="shared" si="254"/>
        <v>0.4</v>
      </c>
      <c r="E241" s="1004">
        <f t="shared" si="254"/>
        <v>0.5</v>
      </c>
      <c r="F241" s="1004">
        <f t="shared" si="254"/>
        <v>0</v>
      </c>
      <c r="G241" s="1004">
        <f t="shared" si="254"/>
        <v>4.9999999999999989E-2</v>
      </c>
      <c r="H241" s="1004">
        <f t="shared" si="254"/>
        <v>0.85000000000000009</v>
      </c>
      <c r="J241" s="1375"/>
      <c r="K241" s="1004">
        <v>4</v>
      </c>
      <c r="L241" s="1004">
        <f t="shared" ref="L241:Q241" si="255">B61</f>
        <v>1</v>
      </c>
      <c r="M241" s="1004">
        <f t="shared" si="255"/>
        <v>-8.0000000000000002E-3</v>
      </c>
      <c r="N241" s="1004">
        <f t="shared" si="255"/>
        <v>-1E-3</v>
      </c>
      <c r="O241" s="1004">
        <f t="shared" si="255"/>
        <v>0</v>
      </c>
      <c r="P241" s="1004">
        <f t="shared" si="255"/>
        <v>3.5000000000000001E-3</v>
      </c>
      <c r="Q241" s="1004">
        <f t="shared" si="255"/>
        <v>1.2E-2</v>
      </c>
    </row>
    <row r="242" spans="1:17" x14ac:dyDescent="0.2">
      <c r="A242" s="1375"/>
      <c r="B242" s="1004">
        <v>5</v>
      </c>
      <c r="C242" s="1004">
        <f t="shared" ref="C242:H242" si="256">I55</f>
        <v>50</v>
      </c>
      <c r="D242" s="1004">
        <f t="shared" si="256"/>
        <v>0.6</v>
      </c>
      <c r="E242" s="1004">
        <f t="shared" si="256"/>
        <v>0.4</v>
      </c>
      <c r="F242" s="1004">
        <f t="shared" si="256"/>
        <v>0</v>
      </c>
      <c r="G242" s="1004">
        <f t="shared" si="256"/>
        <v>9.9999999999999978E-2</v>
      </c>
      <c r="H242" s="1004">
        <f t="shared" si="256"/>
        <v>0.85000000000000009</v>
      </c>
      <c r="J242" s="1375"/>
      <c r="K242" s="1004">
        <v>5</v>
      </c>
      <c r="L242" s="1004">
        <f t="shared" ref="L242:Q242" si="257">I61</f>
        <v>1</v>
      </c>
      <c r="M242" s="1004">
        <f t="shared" si="257"/>
        <v>1.7999999999999999E-2</v>
      </c>
      <c r="N242" s="1004">
        <f t="shared" si="257"/>
        <v>1.2E-2</v>
      </c>
      <c r="O242" s="1004">
        <f t="shared" si="257"/>
        <v>0</v>
      </c>
      <c r="P242" s="1004">
        <f t="shared" si="257"/>
        <v>2.9999999999999992E-3</v>
      </c>
      <c r="Q242" s="1004">
        <f t="shared" si="257"/>
        <v>1.2E-2</v>
      </c>
    </row>
    <row r="243" spans="1:17" x14ac:dyDescent="0.2">
      <c r="A243" s="1375"/>
      <c r="B243" s="1004">
        <v>6</v>
      </c>
      <c r="C243" s="1004">
        <f t="shared" ref="C243:H243" si="258">P55</f>
        <v>50</v>
      </c>
      <c r="D243" s="1004">
        <f t="shared" si="258"/>
        <v>0.3</v>
      </c>
      <c r="E243" s="1004">
        <f t="shared" si="258"/>
        <v>0.2</v>
      </c>
      <c r="F243" s="1004">
        <f t="shared" si="258"/>
        <v>0</v>
      </c>
      <c r="G243" s="1004">
        <f t="shared" si="258"/>
        <v>4.9999999999999989E-2</v>
      </c>
      <c r="H243" s="1004">
        <f t="shared" si="258"/>
        <v>0.85000000000000009</v>
      </c>
      <c r="J243" s="1375"/>
      <c r="K243" s="1004">
        <v>6</v>
      </c>
      <c r="L243" s="1004">
        <f t="shared" ref="L243:Q243" si="259">P61</f>
        <v>1</v>
      </c>
      <c r="M243" s="1004">
        <f t="shared" si="259"/>
        <v>-1E-3</v>
      </c>
      <c r="N243" s="1004">
        <f t="shared" si="259"/>
        <v>8.0000000000000002E-3</v>
      </c>
      <c r="O243" s="1004">
        <f t="shared" si="259"/>
        <v>0</v>
      </c>
      <c r="P243" s="1004">
        <f t="shared" si="259"/>
        <v>4.5000000000000005E-3</v>
      </c>
      <c r="Q243" s="1004">
        <f t="shared" si="259"/>
        <v>1.2E-2</v>
      </c>
    </row>
    <row r="244" spans="1:17" x14ac:dyDescent="0.2">
      <c r="A244" s="1375"/>
      <c r="B244" s="1004">
        <v>7</v>
      </c>
      <c r="C244" s="1004">
        <f t="shared" ref="C244:H244" si="260">B86</f>
        <v>50</v>
      </c>
      <c r="D244" s="1004">
        <f t="shared" si="260"/>
        <v>9.9999999999999995E-7</v>
      </c>
      <c r="E244" s="1004">
        <f t="shared" si="260"/>
        <v>0.4</v>
      </c>
      <c r="F244" s="1004">
        <f t="shared" si="260"/>
        <v>0</v>
      </c>
      <c r="G244" s="1004">
        <f t="shared" si="260"/>
        <v>0.19999950000000002</v>
      </c>
      <c r="H244" s="1004">
        <f t="shared" si="260"/>
        <v>0.85000000000000009</v>
      </c>
      <c r="J244" s="1375"/>
      <c r="K244" s="1004">
        <v>7</v>
      </c>
      <c r="L244" s="1004">
        <f t="shared" ref="L244:Q244" si="261">B92</f>
        <v>1</v>
      </c>
      <c r="M244" s="1004">
        <f t="shared" si="261"/>
        <v>-2E-3</v>
      </c>
      <c r="N244" s="1004">
        <f t="shared" si="261"/>
        <v>1E-3</v>
      </c>
      <c r="O244" s="1004">
        <f t="shared" si="261"/>
        <v>0</v>
      </c>
      <c r="P244" s="1004">
        <f t="shared" si="261"/>
        <v>1.5E-3</v>
      </c>
      <c r="Q244" s="1004">
        <f t="shared" si="261"/>
        <v>1.2E-2</v>
      </c>
    </row>
    <row r="245" spans="1:17" x14ac:dyDescent="0.2">
      <c r="A245" s="1375"/>
      <c r="B245" s="1004">
        <v>8</v>
      </c>
      <c r="C245" s="1004">
        <f t="shared" ref="C245:H245" si="262">I86</f>
        <v>50</v>
      </c>
      <c r="D245" s="1004">
        <f t="shared" si="262"/>
        <v>0.2</v>
      </c>
      <c r="E245" s="1004">
        <f t="shared" si="262"/>
        <v>9.9999999999999995E-7</v>
      </c>
      <c r="F245" s="1004">
        <f t="shared" si="262"/>
        <v>0</v>
      </c>
      <c r="G245" s="1004">
        <f t="shared" si="262"/>
        <v>9.9999500000000005E-2</v>
      </c>
      <c r="H245" s="1004">
        <f t="shared" si="262"/>
        <v>0.85000000000000009</v>
      </c>
      <c r="J245" s="1375"/>
      <c r="K245" s="1004">
        <v>8</v>
      </c>
      <c r="L245" s="1004">
        <f t="shared" ref="L245:Q245" si="263">I92</f>
        <v>1</v>
      </c>
      <c r="M245" s="1004">
        <f t="shared" si="263"/>
        <v>5.0000000000000001E-3</v>
      </c>
      <c r="N245" s="1004">
        <f t="shared" si="263"/>
        <v>1E-3</v>
      </c>
      <c r="O245" s="1004">
        <f t="shared" si="263"/>
        <v>0</v>
      </c>
      <c r="P245" s="1004">
        <f t="shared" si="263"/>
        <v>2E-3</v>
      </c>
      <c r="Q245" s="1004">
        <f t="shared" si="263"/>
        <v>1.2E-2</v>
      </c>
    </row>
    <row r="246" spans="1:17" x14ac:dyDescent="0.2">
      <c r="A246" s="1375"/>
      <c r="B246" s="1004">
        <v>9</v>
      </c>
      <c r="C246" s="1004">
        <f t="shared" ref="C246:H246" si="264">P86</f>
        <v>50</v>
      </c>
      <c r="D246" s="1004">
        <f t="shared" si="264"/>
        <v>9.9999999999999995E-7</v>
      </c>
      <c r="E246" s="1004" t="str">
        <f t="shared" si="264"/>
        <v>-</v>
      </c>
      <c r="F246" s="1004">
        <f t="shared" si="264"/>
        <v>0</v>
      </c>
      <c r="G246" s="1004">
        <f t="shared" si="264"/>
        <v>0</v>
      </c>
      <c r="H246" s="1004">
        <f t="shared" si="264"/>
        <v>0</v>
      </c>
      <c r="J246" s="1375"/>
      <c r="K246" s="1004">
        <v>9</v>
      </c>
      <c r="L246" s="1004">
        <f t="shared" ref="L246:Q246" si="265">P92</f>
        <v>0.5</v>
      </c>
      <c r="M246" s="1004">
        <f t="shared" si="265"/>
        <v>9.9999999999999995E-7</v>
      </c>
      <c r="N246" s="1004" t="str">
        <f t="shared" si="265"/>
        <v>-</v>
      </c>
      <c r="O246" s="1004">
        <f t="shared" si="265"/>
        <v>0</v>
      </c>
      <c r="P246" s="1004">
        <f t="shared" si="265"/>
        <v>0</v>
      </c>
      <c r="Q246" s="1004">
        <f t="shared" si="265"/>
        <v>6.0000000000000001E-3</v>
      </c>
    </row>
    <row r="247" spans="1:17" x14ac:dyDescent="0.2">
      <c r="A247" s="1375"/>
      <c r="B247" s="1004">
        <v>10</v>
      </c>
      <c r="C247" s="1004">
        <f>B117</f>
        <v>50</v>
      </c>
      <c r="D247" s="1004" t="str">
        <f t="shared" ref="D247:F247" si="266">C117</f>
        <v>-</v>
      </c>
      <c r="E247" s="1004" t="str">
        <f t="shared" si="266"/>
        <v>-</v>
      </c>
      <c r="F247" s="1004">
        <f t="shared" si="266"/>
        <v>0</v>
      </c>
      <c r="G247" s="1004">
        <f>F117</f>
        <v>0</v>
      </c>
      <c r="H247" s="1004" t="str">
        <f>G117</f>
        <v>-</v>
      </c>
      <c r="J247" s="1375"/>
      <c r="K247" s="1004">
        <v>10</v>
      </c>
      <c r="L247" s="1004">
        <f t="shared" ref="L247:Q247" si="267">B123</f>
        <v>1</v>
      </c>
      <c r="M247" s="1004" t="str">
        <f t="shared" si="267"/>
        <v>-</v>
      </c>
      <c r="N247" s="1004" t="str">
        <f t="shared" si="267"/>
        <v>-</v>
      </c>
      <c r="O247" s="1004">
        <f t="shared" si="267"/>
        <v>0</v>
      </c>
      <c r="P247" s="1004">
        <f t="shared" si="267"/>
        <v>0</v>
      </c>
      <c r="Q247" s="1004" t="str">
        <f t="shared" si="267"/>
        <v>-</v>
      </c>
    </row>
    <row r="248" spans="1:17" x14ac:dyDescent="0.2">
      <c r="A248" s="1375"/>
      <c r="B248" s="1004">
        <v>11</v>
      </c>
      <c r="C248" s="1004">
        <f>I117</f>
        <v>50</v>
      </c>
      <c r="D248" s="1004" t="str">
        <f t="shared" ref="D248:F248" si="268">J117</f>
        <v>-</v>
      </c>
      <c r="E248" s="1004" t="str">
        <f t="shared" si="268"/>
        <v>-</v>
      </c>
      <c r="F248" s="1004">
        <f t="shared" si="268"/>
        <v>0</v>
      </c>
      <c r="G248" s="1004">
        <f>M117</f>
        <v>0</v>
      </c>
      <c r="H248" s="1004" t="str">
        <f>N117</f>
        <v>-</v>
      </c>
      <c r="J248" s="1375"/>
      <c r="K248" s="1004">
        <v>11</v>
      </c>
      <c r="L248" s="1004">
        <f t="shared" ref="L248:Q248" si="269">I123</f>
        <v>1</v>
      </c>
      <c r="M248" s="1004" t="str">
        <f t="shared" si="269"/>
        <v>-</v>
      </c>
      <c r="N248" s="1004" t="str">
        <f t="shared" si="269"/>
        <v>-</v>
      </c>
      <c r="O248" s="1004">
        <f t="shared" si="269"/>
        <v>0</v>
      </c>
      <c r="P248" s="1004">
        <f t="shared" si="269"/>
        <v>0</v>
      </c>
      <c r="Q248" s="1004" t="str">
        <f t="shared" si="269"/>
        <v>-</v>
      </c>
    </row>
    <row r="249" spans="1:17" x14ac:dyDescent="0.2">
      <c r="A249" s="1375"/>
      <c r="B249" s="1004">
        <v>12</v>
      </c>
      <c r="C249" s="1004">
        <f>P117</f>
        <v>50</v>
      </c>
      <c r="D249" s="1004" t="str">
        <f t="shared" ref="D249:F249" si="270">Q117</f>
        <v>-</v>
      </c>
      <c r="E249" s="1004" t="str">
        <f t="shared" si="270"/>
        <v>-</v>
      </c>
      <c r="F249" s="1004">
        <f t="shared" si="270"/>
        <v>0</v>
      </c>
      <c r="G249" s="1004">
        <f>T117</f>
        <v>0</v>
      </c>
      <c r="H249" s="1004" t="str">
        <f>U117</f>
        <v>-</v>
      </c>
      <c r="J249" s="1375"/>
      <c r="K249" s="1004">
        <v>12</v>
      </c>
      <c r="L249" s="1004">
        <f t="shared" ref="L249:Q249" si="271">P123</f>
        <v>1</v>
      </c>
      <c r="M249" s="1004" t="str">
        <f t="shared" si="271"/>
        <v>-</v>
      </c>
      <c r="N249" s="1004" t="str">
        <f t="shared" si="271"/>
        <v>-</v>
      </c>
      <c r="O249" s="1004">
        <f t="shared" si="271"/>
        <v>0</v>
      </c>
      <c r="P249" s="1004">
        <f t="shared" si="271"/>
        <v>0</v>
      </c>
      <c r="Q249" s="1004" t="str">
        <f t="shared" si="271"/>
        <v>-</v>
      </c>
    </row>
    <row r="250" spans="1:17" s="973" customFormat="1" x14ac:dyDescent="0.2">
      <c r="A250" s="1013"/>
      <c r="B250" s="1007"/>
      <c r="C250" s="1007"/>
      <c r="D250" s="1007"/>
      <c r="E250" s="1007"/>
      <c r="F250" s="1009"/>
      <c r="G250" s="1007"/>
      <c r="H250" s="1007"/>
      <c r="J250" s="1013"/>
      <c r="K250" s="1007"/>
      <c r="L250" s="1007"/>
      <c r="M250" s="1007"/>
      <c r="N250" s="1007"/>
      <c r="O250" s="1009"/>
      <c r="P250" s="1007"/>
      <c r="Q250" s="1007"/>
    </row>
    <row r="251" spans="1:17" x14ac:dyDescent="0.2">
      <c r="A251" s="1375" t="s">
        <v>54</v>
      </c>
      <c r="B251" s="1004">
        <v>1</v>
      </c>
      <c r="C251" s="1004">
        <f t="shared" ref="C251:H251" si="272">B25</f>
        <v>100</v>
      </c>
      <c r="D251" s="1004">
        <f t="shared" si="272"/>
        <v>9.9999999999999995E-7</v>
      </c>
      <c r="E251" s="1004">
        <f t="shared" si="272"/>
        <v>9.9999999999999995E-7</v>
      </c>
      <c r="F251" s="1004" t="str">
        <f t="shared" si="272"/>
        <v>-</v>
      </c>
      <c r="G251" s="1004">
        <f t="shared" si="272"/>
        <v>0</v>
      </c>
      <c r="H251" s="1004">
        <f t="shared" si="272"/>
        <v>0</v>
      </c>
      <c r="J251" s="1375" t="s">
        <v>54</v>
      </c>
      <c r="K251" s="1004">
        <v>1</v>
      </c>
      <c r="L251" s="1004">
        <f t="shared" ref="L251:Q251" si="273">B31</f>
        <v>2</v>
      </c>
      <c r="M251" s="1004">
        <f t="shared" si="273"/>
        <v>7.0000000000000001E-3</v>
      </c>
      <c r="N251" s="1004">
        <f t="shared" si="273"/>
        <v>9.9999999999999995E-7</v>
      </c>
      <c r="O251" s="1004" t="str">
        <f t="shared" si="273"/>
        <v>-</v>
      </c>
      <c r="P251" s="1004">
        <f t="shared" si="273"/>
        <v>3.4995E-3</v>
      </c>
      <c r="Q251" s="1004">
        <f t="shared" si="273"/>
        <v>2.4E-2</v>
      </c>
    </row>
    <row r="252" spans="1:17" x14ac:dyDescent="0.2">
      <c r="A252" s="1375"/>
      <c r="B252" s="1004">
        <v>2</v>
      </c>
      <c r="C252" s="1004">
        <f t="shared" ref="C252:H252" si="274">I25</f>
        <v>100</v>
      </c>
      <c r="D252" s="1004">
        <f t="shared" si="274"/>
        <v>0.3</v>
      </c>
      <c r="E252" s="1004">
        <f t="shared" si="274"/>
        <v>9.9999999999999995E-7</v>
      </c>
      <c r="F252" s="1004" t="str">
        <f t="shared" si="274"/>
        <v>-</v>
      </c>
      <c r="G252" s="1004">
        <f t="shared" si="274"/>
        <v>0.14999950000000001</v>
      </c>
      <c r="H252" s="1004">
        <f t="shared" si="274"/>
        <v>0.59</v>
      </c>
      <c r="J252" s="1375"/>
      <c r="K252" s="1004">
        <v>2</v>
      </c>
      <c r="L252" s="1004">
        <f t="shared" ref="L252:Q252" si="275">I31</f>
        <v>2</v>
      </c>
      <c r="M252" s="1004">
        <f t="shared" si="275"/>
        <v>9.9999999999999995E-7</v>
      </c>
      <c r="N252" s="1004">
        <f t="shared" si="275"/>
        <v>9.9999999999999995E-7</v>
      </c>
      <c r="O252" s="1004" t="str">
        <f t="shared" si="275"/>
        <v>-</v>
      </c>
      <c r="P252" s="1004">
        <f t="shared" si="275"/>
        <v>0</v>
      </c>
      <c r="Q252" s="1004">
        <f t="shared" si="275"/>
        <v>0</v>
      </c>
    </row>
    <row r="253" spans="1:17" x14ac:dyDescent="0.2">
      <c r="A253" s="1375"/>
      <c r="B253" s="1004">
        <v>3</v>
      </c>
      <c r="C253" s="1004">
        <f t="shared" ref="C253:H253" si="276">P25</f>
        <v>50</v>
      </c>
      <c r="D253" s="1004">
        <f t="shared" si="276"/>
        <v>0.1</v>
      </c>
      <c r="E253" s="1004">
        <f t="shared" si="276"/>
        <v>1.1000000000000001</v>
      </c>
      <c r="F253" s="1004">
        <f t="shared" si="276"/>
        <v>0.6</v>
      </c>
      <c r="G253" s="1004">
        <f t="shared" si="276"/>
        <v>0.5</v>
      </c>
      <c r="H253" s="1004">
        <f t="shared" si="276"/>
        <v>0.85000000000000009</v>
      </c>
      <c r="J253" s="1375"/>
      <c r="K253" s="1004">
        <v>3</v>
      </c>
      <c r="L253" s="1004">
        <f t="shared" ref="L253:Q253" si="277">P31</f>
        <v>2</v>
      </c>
      <c r="M253" s="1004">
        <f t="shared" si="277"/>
        <v>-8.0000000000000002E-3</v>
      </c>
      <c r="N253" s="1004">
        <f t="shared" si="277"/>
        <v>1.4E-2</v>
      </c>
      <c r="O253" s="1004">
        <f t="shared" si="277"/>
        <v>9.9999999999999995E-7</v>
      </c>
      <c r="P253" s="1004">
        <f t="shared" si="277"/>
        <v>1.0999999999999999E-2</v>
      </c>
      <c r="Q253" s="1004">
        <f t="shared" si="277"/>
        <v>2.4E-2</v>
      </c>
    </row>
    <row r="254" spans="1:17" x14ac:dyDescent="0.2">
      <c r="A254" s="1375"/>
      <c r="B254" s="1004">
        <v>4</v>
      </c>
      <c r="C254" s="1004">
        <f t="shared" ref="C254:H254" si="278">B56</f>
        <v>100</v>
      </c>
      <c r="D254" s="1004">
        <f t="shared" si="278"/>
        <v>1.4</v>
      </c>
      <c r="E254" s="1004">
        <f t="shared" si="278"/>
        <v>1</v>
      </c>
      <c r="F254" s="1004">
        <f t="shared" si="278"/>
        <v>0</v>
      </c>
      <c r="G254" s="1004">
        <f t="shared" si="278"/>
        <v>0.19999999999999996</v>
      </c>
      <c r="H254" s="1004">
        <f t="shared" si="278"/>
        <v>1.7000000000000002</v>
      </c>
      <c r="J254" s="1375"/>
      <c r="K254" s="1004">
        <v>4</v>
      </c>
      <c r="L254" s="1004">
        <f t="shared" ref="L254:Q254" si="279">B62</f>
        <v>2</v>
      </c>
      <c r="M254" s="1004">
        <f t="shared" si="279"/>
        <v>-7.0000000000000001E-3</v>
      </c>
      <c r="N254" s="1004">
        <f t="shared" si="279"/>
        <v>9.9999999999999995E-7</v>
      </c>
      <c r="O254" s="1004">
        <f t="shared" si="279"/>
        <v>0</v>
      </c>
      <c r="P254" s="1004">
        <f t="shared" si="279"/>
        <v>3.5005000000000001E-3</v>
      </c>
      <c r="Q254" s="1004">
        <f t="shared" si="279"/>
        <v>2.4E-2</v>
      </c>
    </row>
    <row r="255" spans="1:17" x14ac:dyDescent="0.2">
      <c r="A255" s="1375"/>
      <c r="B255" s="1004">
        <v>5</v>
      </c>
      <c r="C255" s="1004">
        <f t="shared" ref="C255:H255" si="280">I56</f>
        <v>100</v>
      </c>
      <c r="D255" s="1004">
        <f t="shared" si="280"/>
        <v>1.5</v>
      </c>
      <c r="E255" s="1004">
        <f t="shared" si="280"/>
        <v>0.8</v>
      </c>
      <c r="F255" s="1004">
        <f t="shared" si="280"/>
        <v>0</v>
      </c>
      <c r="G255" s="1004">
        <f t="shared" si="280"/>
        <v>0.35</v>
      </c>
      <c r="H255" s="1004">
        <f t="shared" si="280"/>
        <v>1.7000000000000002</v>
      </c>
      <c r="J255" s="1375"/>
      <c r="K255" s="1004">
        <v>5</v>
      </c>
      <c r="L255" s="1004">
        <f t="shared" ref="L255:Q255" si="281">I62</f>
        <v>2</v>
      </c>
      <c r="M255" s="1004">
        <f t="shared" si="281"/>
        <v>0.113</v>
      </c>
      <c r="N255" s="1004">
        <f t="shared" si="281"/>
        <v>9.9999999999999995E-7</v>
      </c>
      <c r="O255" s="1004">
        <f t="shared" si="281"/>
        <v>0</v>
      </c>
      <c r="P255" s="1004">
        <f t="shared" si="281"/>
        <v>5.6499500000000001E-2</v>
      </c>
      <c r="Q255" s="1004">
        <f t="shared" si="281"/>
        <v>2.4E-2</v>
      </c>
    </row>
    <row r="256" spans="1:17" x14ac:dyDescent="0.2">
      <c r="A256" s="1375"/>
      <c r="B256" s="1004">
        <v>6</v>
      </c>
      <c r="C256" s="1004">
        <f t="shared" ref="C256:H256" si="282">P56</f>
        <v>100</v>
      </c>
      <c r="D256" s="1004">
        <f t="shared" si="282"/>
        <v>0.6</v>
      </c>
      <c r="E256" s="1004">
        <f t="shared" si="282"/>
        <v>0.7</v>
      </c>
      <c r="F256" s="1004">
        <f t="shared" si="282"/>
        <v>0</v>
      </c>
      <c r="G256" s="1004">
        <f t="shared" si="282"/>
        <v>4.9999999999999989E-2</v>
      </c>
      <c r="H256" s="1004">
        <f t="shared" si="282"/>
        <v>1.7000000000000002</v>
      </c>
      <c r="J256" s="1375"/>
      <c r="K256" s="1004">
        <v>6</v>
      </c>
      <c r="L256" s="1004">
        <f t="shared" ref="L256:Q256" si="283">P62</f>
        <v>2</v>
      </c>
      <c r="M256" s="1004">
        <f t="shared" si="283"/>
        <v>9.9999999999999995E-7</v>
      </c>
      <c r="N256" s="1004">
        <f t="shared" si="283"/>
        <v>9.9999999999999995E-7</v>
      </c>
      <c r="O256" s="1004">
        <f t="shared" si="283"/>
        <v>0</v>
      </c>
      <c r="P256" s="1004">
        <f t="shared" si="283"/>
        <v>0</v>
      </c>
      <c r="Q256" s="1004">
        <f t="shared" si="283"/>
        <v>0</v>
      </c>
    </row>
    <row r="257" spans="1:20" x14ac:dyDescent="0.2">
      <c r="A257" s="1375"/>
      <c r="B257" s="1004">
        <v>7</v>
      </c>
      <c r="C257" s="1004">
        <f t="shared" ref="C257:H257" si="284">B87</f>
        <v>100</v>
      </c>
      <c r="D257" s="1004">
        <f t="shared" si="284"/>
        <v>9.9999999999999995E-7</v>
      </c>
      <c r="E257" s="1004">
        <f t="shared" si="284"/>
        <v>1.4</v>
      </c>
      <c r="F257" s="1004">
        <f t="shared" si="284"/>
        <v>0</v>
      </c>
      <c r="G257" s="1004">
        <f t="shared" si="284"/>
        <v>0.6999995</v>
      </c>
      <c r="H257" s="1004">
        <f t="shared" si="284"/>
        <v>1.7000000000000002</v>
      </c>
      <c r="J257" s="1375"/>
      <c r="K257" s="1004">
        <v>7</v>
      </c>
      <c r="L257" s="1004">
        <f t="shared" ref="L257:Q257" si="285">B93</f>
        <v>2</v>
      </c>
      <c r="M257" s="1004">
        <f t="shared" si="285"/>
        <v>9.9999999999999995E-7</v>
      </c>
      <c r="N257" s="1004">
        <f t="shared" si="285"/>
        <v>9.9999999999999995E-7</v>
      </c>
      <c r="O257" s="1004">
        <f t="shared" si="285"/>
        <v>0</v>
      </c>
      <c r="P257" s="1004">
        <f t="shared" si="285"/>
        <v>0</v>
      </c>
      <c r="Q257" s="1004">
        <f t="shared" si="285"/>
        <v>2.4E-2</v>
      </c>
    </row>
    <row r="258" spans="1:20" x14ac:dyDescent="0.2">
      <c r="A258" s="1375"/>
      <c r="B258" s="1004">
        <v>8</v>
      </c>
      <c r="C258" s="1004">
        <f t="shared" ref="C258:H258" si="286">I87</f>
        <v>100</v>
      </c>
      <c r="D258" s="1004">
        <f t="shared" si="286"/>
        <v>0.4</v>
      </c>
      <c r="E258" s="1004">
        <f t="shared" si="286"/>
        <v>9.9999999999999995E-7</v>
      </c>
      <c r="F258" s="1004">
        <f t="shared" si="286"/>
        <v>0</v>
      </c>
      <c r="G258" s="1004">
        <f t="shared" si="286"/>
        <v>0.19999950000000002</v>
      </c>
      <c r="H258" s="1004">
        <f t="shared" si="286"/>
        <v>1.7000000000000002</v>
      </c>
      <c r="J258" s="1375"/>
      <c r="K258" s="1004">
        <v>8</v>
      </c>
      <c r="L258" s="1004">
        <f t="shared" ref="L258:Q258" si="287">I93</f>
        <v>2</v>
      </c>
      <c r="M258" s="1004">
        <f t="shared" si="287"/>
        <v>5.0000000000000001E-3</v>
      </c>
      <c r="N258" s="1004">
        <f t="shared" si="287"/>
        <v>-1E-3</v>
      </c>
      <c r="O258" s="1004">
        <f t="shared" si="287"/>
        <v>0</v>
      </c>
      <c r="P258" s="1004">
        <f t="shared" si="287"/>
        <v>3.0000000000000001E-3</v>
      </c>
      <c r="Q258" s="1004">
        <f t="shared" si="287"/>
        <v>2.4E-2</v>
      </c>
    </row>
    <row r="259" spans="1:20" x14ac:dyDescent="0.2">
      <c r="A259" s="1375"/>
      <c r="B259" s="1004">
        <v>9</v>
      </c>
      <c r="C259" s="1004">
        <f t="shared" ref="C259:H259" si="288">P87</f>
        <v>100</v>
      </c>
      <c r="D259" s="1004">
        <f t="shared" si="288"/>
        <v>9.9999999999999995E-7</v>
      </c>
      <c r="E259" s="1004" t="str">
        <f t="shared" si="288"/>
        <v>-</v>
      </c>
      <c r="F259" s="1004">
        <f t="shared" si="288"/>
        <v>0</v>
      </c>
      <c r="G259" s="1004">
        <f t="shared" si="288"/>
        <v>0</v>
      </c>
      <c r="H259" s="1004">
        <f t="shared" si="288"/>
        <v>0</v>
      </c>
      <c r="J259" s="1375"/>
      <c r="K259" s="1004">
        <v>9</v>
      </c>
      <c r="L259" s="1004">
        <f t="shared" ref="L259:Q259" si="289">P93</f>
        <v>1</v>
      </c>
      <c r="M259" s="1004">
        <f t="shared" si="289"/>
        <v>-1E-3</v>
      </c>
      <c r="N259" s="1004" t="str">
        <f t="shared" si="289"/>
        <v>-</v>
      </c>
      <c r="O259" s="1004">
        <f t="shared" si="289"/>
        <v>0</v>
      </c>
      <c r="P259" s="1004">
        <f t="shared" si="289"/>
        <v>0</v>
      </c>
      <c r="Q259" s="1004">
        <f t="shared" si="289"/>
        <v>1.2E-2</v>
      </c>
    </row>
    <row r="260" spans="1:20" x14ac:dyDescent="0.2">
      <c r="A260" s="1375"/>
      <c r="B260" s="1004">
        <v>10</v>
      </c>
      <c r="C260" s="1004">
        <f>B118</f>
        <v>100</v>
      </c>
      <c r="D260" s="1004" t="str">
        <f t="shared" ref="D260:F260" si="290">C118</f>
        <v>-</v>
      </c>
      <c r="E260" s="1004" t="str">
        <f t="shared" si="290"/>
        <v>-</v>
      </c>
      <c r="F260" s="1004">
        <f t="shared" si="290"/>
        <v>0</v>
      </c>
      <c r="G260" s="1004">
        <f>F118</f>
        <v>0</v>
      </c>
      <c r="H260" s="1004" t="str">
        <f>G118</f>
        <v>-</v>
      </c>
      <c r="J260" s="1375"/>
      <c r="K260" s="1004">
        <v>10</v>
      </c>
      <c r="L260" s="1004">
        <f t="shared" ref="L260:Q260" si="291">B124</f>
        <v>2</v>
      </c>
      <c r="M260" s="1004" t="str">
        <f t="shared" si="291"/>
        <v>-</v>
      </c>
      <c r="N260" s="1004" t="str">
        <f t="shared" si="291"/>
        <v>-</v>
      </c>
      <c r="O260" s="1004">
        <f t="shared" si="291"/>
        <v>0</v>
      </c>
      <c r="P260" s="1004">
        <f t="shared" si="291"/>
        <v>0</v>
      </c>
      <c r="Q260" s="1004" t="str">
        <f t="shared" si="291"/>
        <v>-</v>
      </c>
    </row>
    <row r="261" spans="1:20" x14ac:dyDescent="0.2">
      <c r="A261" s="1375"/>
      <c r="B261" s="1004">
        <v>11</v>
      </c>
      <c r="C261" s="1004">
        <f>I118</f>
        <v>100</v>
      </c>
      <c r="D261" s="1004" t="str">
        <f t="shared" ref="D261:F261" si="292">J118</f>
        <v>-</v>
      </c>
      <c r="E261" s="1004" t="str">
        <f t="shared" si="292"/>
        <v>-</v>
      </c>
      <c r="F261" s="1004">
        <f t="shared" si="292"/>
        <v>0</v>
      </c>
      <c r="G261" s="1004">
        <f>M118</f>
        <v>0</v>
      </c>
      <c r="H261" s="1004" t="str">
        <f>N118</f>
        <v>-</v>
      </c>
      <c r="J261" s="1375"/>
      <c r="K261" s="1004">
        <v>11</v>
      </c>
      <c r="L261" s="1004">
        <f t="shared" ref="L261:Q261" si="293">I124</f>
        <v>2</v>
      </c>
      <c r="M261" s="1004" t="str">
        <f t="shared" si="293"/>
        <v>-</v>
      </c>
      <c r="N261" s="1004" t="str">
        <f t="shared" si="293"/>
        <v>-</v>
      </c>
      <c r="O261" s="1004">
        <f t="shared" si="293"/>
        <v>0</v>
      </c>
      <c r="P261" s="1004">
        <f t="shared" si="293"/>
        <v>0</v>
      </c>
      <c r="Q261" s="1004" t="str">
        <f t="shared" si="293"/>
        <v>-</v>
      </c>
    </row>
    <row r="262" spans="1:20" x14ac:dyDescent="0.2">
      <c r="A262" s="1375"/>
      <c r="B262" s="1004">
        <v>12</v>
      </c>
      <c r="C262" s="1004">
        <f>P118</f>
        <v>100</v>
      </c>
      <c r="D262" s="1004" t="str">
        <f t="shared" ref="D262:F262" si="294">Q118</f>
        <v>-</v>
      </c>
      <c r="E262" s="1004" t="str">
        <f t="shared" si="294"/>
        <v>-</v>
      </c>
      <c r="F262" s="1004">
        <f t="shared" si="294"/>
        <v>0</v>
      </c>
      <c r="G262" s="1004">
        <f>T118</f>
        <v>0</v>
      </c>
      <c r="H262" s="1004" t="str">
        <f>U118</f>
        <v>-</v>
      </c>
      <c r="J262" s="1375"/>
      <c r="K262" s="1004">
        <v>12</v>
      </c>
      <c r="L262" s="1004">
        <f t="shared" ref="L262:Q262" si="295">P124</f>
        <v>2</v>
      </c>
      <c r="M262" s="1004" t="str">
        <f t="shared" si="295"/>
        <v>-</v>
      </c>
      <c r="N262" s="1004" t="str">
        <f t="shared" si="295"/>
        <v>-</v>
      </c>
      <c r="O262" s="1004">
        <f t="shared" si="295"/>
        <v>0</v>
      </c>
      <c r="P262" s="1004">
        <f t="shared" si="295"/>
        <v>0</v>
      </c>
      <c r="Q262" s="1004" t="str">
        <f t="shared" si="295"/>
        <v>-</v>
      </c>
    </row>
    <row r="263" spans="1:20" s="973" customFormat="1" x14ac:dyDescent="0.2">
      <c r="A263" s="1014"/>
      <c r="B263" s="978"/>
      <c r="C263" s="978"/>
      <c r="D263" s="978"/>
      <c r="E263" s="978"/>
      <c r="F263" s="978"/>
      <c r="G263" s="978"/>
      <c r="I263" s="1014"/>
      <c r="J263" s="978"/>
      <c r="K263" s="978"/>
      <c r="L263" s="978"/>
      <c r="M263" s="978"/>
      <c r="N263" s="978"/>
      <c r="O263" s="978"/>
    </row>
    <row r="264" spans="1:20" x14ac:dyDescent="0.2">
      <c r="A264" s="1000"/>
      <c r="B264" s="989"/>
      <c r="C264" s="989"/>
    </row>
    <row r="265" spans="1:20" ht="43.5" customHeight="1" x14ac:dyDescent="0.2">
      <c r="A265" s="1015">
        <f>A311</f>
        <v>9</v>
      </c>
      <c r="B265" s="1376" t="str">
        <f>A298</f>
        <v>Electrical Safety Analyzer, Merek : Fluke, Model : ESA 615, SN : 4670010</v>
      </c>
      <c r="C265" s="1376"/>
      <c r="D265" s="1376"/>
      <c r="E265" s="1376"/>
      <c r="F265" s="1376"/>
      <c r="H265" s="1377" t="s">
        <v>319</v>
      </c>
      <c r="I265" s="1377"/>
      <c r="J265" s="1377"/>
      <c r="K265" s="1016"/>
      <c r="L265" s="973"/>
      <c r="M265" s="1378" t="s">
        <v>211</v>
      </c>
      <c r="N265" s="1378" t="s">
        <v>370</v>
      </c>
      <c r="O265" s="1371" t="s">
        <v>371</v>
      </c>
      <c r="Q265" s="1017"/>
      <c r="R265" s="1017"/>
      <c r="S265" s="1017"/>
      <c r="T265" s="1017"/>
    </row>
    <row r="266" spans="1:20" ht="14.65" customHeight="1" x14ac:dyDescent="0.2">
      <c r="A266" s="1372" t="s">
        <v>350</v>
      </c>
      <c r="B266" s="1372"/>
      <c r="C266" s="1372"/>
      <c r="D266" s="1372"/>
      <c r="E266" s="1372"/>
      <c r="F266" s="1372"/>
      <c r="H266" s="457" t="str">
        <f>TEXT(O268,"0.0")</f>
        <v>219.6</v>
      </c>
      <c r="I266" s="457" t="str">
        <f>TEXT(J293,"0.0")</f>
        <v>2.6</v>
      </c>
      <c r="J266" s="1018" t="s">
        <v>373</v>
      </c>
      <c r="K266" s="1019"/>
      <c r="L266" s="973"/>
      <c r="M266" s="1378"/>
      <c r="N266" s="1378"/>
      <c r="O266" s="1371"/>
      <c r="Q266" s="1017"/>
      <c r="R266" s="1017"/>
      <c r="S266" s="1017"/>
      <c r="T266" s="1017"/>
    </row>
    <row r="267" spans="1:20" ht="15.75" x14ac:dyDescent="0.2">
      <c r="A267" s="1373" t="str">
        <f>B4</f>
        <v>Setting VAC</v>
      </c>
      <c r="B267" s="1373"/>
      <c r="C267" s="1373"/>
      <c r="D267" s="1373"/>
      <c r="E267" s="1373" t="s">
        <v>352</v>
      </c>
      <c r="F267" s="1373" t="s">
        <v>284</v>
      </c>
      <c r="H267" s="1021" t="s">
        <v>327</v>
      </c>
      <c r="I267" s="1022" t="s">
        <v>328</v>
      </c>
      <c r="J267" s="1022" t="s">
        <v>329</v>
      </c>
      <c r="K267" s="1017"/>
      <c r="L267" s="973"/>
      <c r="M267" s="1378"/>
      <c r="N267" s="1378"/>
      <c r="O267" s="1371"/>
      <c r="Q267" s="1017"/>
      <c r="R267" s="1017"/>
      <c r="S267" s="1017"/>
      <c r="T267" s="1017"/>
    </row>
    <row r="268" spans="1:20" ht="18.75" x14ac:dyDescent="0.2">
      <c r="A268" s="1023" t="s">
        <v>353</v>
      </c>
      <c r="B268" s="1024">
        <f>VLOOKUP(B265,A299:L310,9,FALSE)</f>
        <v>2020</v>
      </c>
      <c r="C268" s="1024" t="str">
        <f>VLOOKUP(B265,A299:L310,10,FALSE)</f>
        <v>-</v>
      </c>
      <c r="D268" s="1024" t="str">
        <f>VLOOKUP(B265,A299:L310,11,FALSE)</f>
        <v>-</v>
      </c>
      <c r="E268" s="1373"/>
      <c r="F268" s="1373"/>
      <c r="H268" s="1374" t="str">
        <f>H267&amp;H266&amp;I267&amp;I266&amp;J267&amp;J266</f>
        <v>( 219.6 ± 2.6 ) Volt</v>
      </c>
      <c r="I268" s="1374"/>
      <c r="J268" s="1374"/>
      <c r="K268" s="1017"/>
      <c r="L268" s="973"/>
      <c r="M268" s="1025">
        <f>ID!E19</f>
        <v>220</v>
      </c>
      <c r="N268" s="1026">
        <f>M268+J273</f>
        <v>219.61</v>
      </c>
      <c r="O268" s="1027">
        <f>IF(M268="-","-",N268)</f>
        <v>219.61</v>
      </c>
      <c r="Q268" s="1017"/>
      <c r="R268" s="1017"/>
      <c r="S268" s="1017"/>
      <c r="T268" s="1017"/>
    </row>
    <row r="269" spans="1:20" ht="15.75" x14ac:dyDescent="0.2">
      <c r="A269" s="457">
        <f>VLOOKUP($A265,$B131:$H142,2,(FALSE))</f>
        <v>149.83000000000001</v>
      </c>
      <c r="B269" s="1028">
        <f>VLOOKUP($A$265,$B$131:$H$142,3,(FALSE))</f>
        <v>-0.17</v>
      </c>
      <c r="C269" s="1028" t="str">
        <f>VLOOKUP($A$265,$B$131:$H$142,4,(FALSE))</f>
        <v>-</v>
      </c>
      <c r="D269" s="1028">
        <f>VLOOKUP($A$265,$B$131:$H$142,5,(FALSE))</f>
        <v>0</v>
      </c>
      <c r="E269" s="1028">
        <f>VLOOKUP($A$265,$B$131:$H$142,6,(FALSE))</f>
        <v>0</v>
      </c>
      <c r="F269" s="457">
        <f>VLOOKUP($A$265,$B$131:$H$142,7,(FALSE))</f>
        <v>1.7979600000000002</v>
      </c>
      <c r="H269" s="131"/>
      <c r="J269" s="1016"/>
      <c r="K269" s="1016"/>
      <c r="L269" s="973"/>
      <c r="M269" s="1025" t="str">
        <f>ID!J27</f>
        <v>OL</v>
      </c>
      <c r="N269" s="1026" t="e">
        <f>M269+J$277</f>
        <v>#VALUE!</v>
      </c>
      <c r="O269" s="1027" t="str">
        <f>IF(M269="OR","OR",IF(M269="OL","OL",IF(M269="NC","NC",IFERROR(N269,"-"))))</f>
        <v>OL</v>
      </c>
      <c r="R269" s="1029"/>
    </row>
    <row r="270" spans="1:20" x14ac:dyDescent="0.2">
      <c r="A270" s="1007">
        <f>VLOOKUP($A$265,$B$144:$H$155,2,(FALSE))</f>
        <v>179.78</v>
      </c>
      <c r="B270" s="1030">
        <f>VLOOKUP($A$265,$B$144:$H$155,3,(FALSE))</f>
        <v>-0.22</v>
      </c>
      <c r="C270" s="1030" t="str">
        <f>VLOOKUP($A$265,$B$144:$H$155,4,(FALSE))</f>
        <v>-</v>
      </c>
      <c r="D270" s="1030">
        <f>VLOOKUP($A$265,$B$144:$H$155,5,(FALSE))</f>
        <v>0</v>
      </c>
      <c r="E270" s="1030">
        <f>VLOOKUP($A$265,$B$144:$H$155,6,(FALSE))</f>
        <v>0</v>
      </c>
      <c r="F270" s="1007">
        <f>VLOOKUP($A$265,$B$144:$H$155,7,(FALSE))</f>
        <v>2.1573600000000002</v>
      </c>
      <c r="H270" s="1017"/>
      <c r="I270" s="1017"/>
      <c r="J270" s="1017"/>
      <c r="K270" s="1017"/>
      <c r="L270" s="973"/>
      <c r="M270" s="1025">
        <f>ID!J28</f>
        <v>0.12</v>
      </c>
      <c r="N270" s="1026">
        <f>M270+J$281</f>
        <v>0.11809049748743718</v>
      </c>
      <c r="O270" s="1027">
        <f>IF(M270="NC","NC",IF(M270="OL","OL",IF(M270="OR","OR",IFERROR(N270,"-"))))</f>
        <v>0.11809049748743718</v>
      </c>
    </row>
    <row r="271" spans="1:20" x14ac:dyDescent="0.2">
      <c r="A271" s="1007">
        <f>VLOOKUP($A$265,$B$157:$H$168,2,(FALSE))</f>
        <v>199.67</v>
      </c>
      <c r="B271" s="1030">
        <f>VLOOKUP($A$265,$B$157:$H$168,3,(FALSE))</f>
        <v>-0.33</v>
      </c>
      <c r="C271" s="1030" t="str">
        <f>VLOOKUP($A$265,$B$157:$H$168,4,(FALSE))</f>
        <v>-</v>
      </c>
      <c r="D271" s="1030">
        <f>VLOOKUP($A$265,$B$157:$H$168,5,(FALSE))</f>
        <v>0</v>
      </c>
      <c r="E271" s="1030">
        <f>VLOOKUP($A$265,$B$157:$H$168,6,(FALSE))</f>
        <v>0</v>
      </c>
      <c r="F271" s="1007">
        <f>VLOOKUP($A$265,$B$157:$H$168,7,(FALSE))</f>
        <v>2.3960399999999997</v>
      </c>
      <c r="H271" s="1364" t="s">
        <v>566</v>
      </c>
      <c r="I271" s="1364"/>
      <c r="J271" s="1364"/>
      <c r="K271" s="1364"/>
      <c r="L271" s="1032" t="s">
        <v>372</v>
      </c>
      <c r="M271" s="1025">
        <f>ID!J29</f>
        <v>555</v>
      </c>
      <c r="N271" s="1026">
        <f>M271+J$285</f>
        <v>561.36627918556201</v>
      </c>
      <c r="O271" s="1027">
        <f>IFERROR(N271,"-")</f>
        <v>561.36627918556201</v>
      </c>
    </row>
    <row r="272" spans="1:20" x14ac:dyDescent="0.2">
      <c r="A272" s="1007">
        <f>VLOOKUP($A$265,$B$170:$H$181,2,(FALSE))</f>
        <v>219.61</v>
      </c>
      <c r="B272" s="1030">
        <f>VLOOKUP($A$265,$B$170:$H$181,3,(FALSE))</f>
        <v>-0.39</v>
      </c>
      <c r="C272" s="1030" t="str">
        <f>VLOOKUP($A$265,$B$170:$H$181,4,(FALSE))</f>
        <v>-</v>
      </c>
      <c r="D272" s="1030">
        <f>VLOOKUP($A$265,$B$170:$H$181,5,(FALSE))</f>
        <v>0</v>
      </c>
      <c r="E272" s="1030">
        <f>VLOOKUP($A$265,$B$170:$H$181,6,(FALSE))</f>
        <v>0</v>
      </c>
      <c r="F272" s="1007">
        <f>VLOOKUP($A$265,$B$170:$H$181,7,(FALSE))</f>
        <v>2.6353200000000001</v>
      </c>
      <c r="H272" s="1031"/>
      <c r="I272" s="1033">
        <f>IF($H$273&lt;=$A$270,A269,IF($H$273&lt;=$A$271,A270,IF($H$273&lt;=$A$272,A271,IF($H$273&lt;=$A$273,A272,IF($H$273&lt;=$A$274,A273,A274)))))</f>
        <v>219.61</v>
      </c>
      <c r="J272" s="1033"/>
      <c r="K272" s="1033">
        <f>IF($H$273&lt;=$A$270,B269,IF($H$273&lt;=$A$271,B270,IF($H$273&lt;=$A$272,B271,IF($H$273&lt;=$A$273,B272,IF($H$273&lt;=$A$274,B273,B274)))))</f>
        <v>-0.39</v>
      </c>
      <c r="L272" s="1032" t="s">
        <v>139</v>
      </c>
      <c r="M272" s="1034">
        <f>ID!S28</f>
        <v>10</v>
      </c>
      <c r="N272" s="1035">
        <f>M272+J$289</f>
        <v>10.384615903846154</v>
      </c>
      <c r="O272" s="1036">
        <f>IFERROR(N272,"-")</f>
        <v>10.384615903846154</v>
      </c>
    </row>
    <row r="273" spans="1:16" ht="15.75" customHeight="1" x14ac:dyDescent="0.2">
      <c r="A273" s="1007">
        <f>VLOOKUP($A$265,$B$183:$H$194,2,(FALSE))</f>
        <v>229.61</v>
      </c>
      <c r="B273" s="1030">
        <f>VLOOKUP($A$265,$B$183:$H$194,3,(FALSE))</f>
        <v>-0.39</v>
      </c>
      <c r="C273" s="1030" t="str">
        <f>VLOOKUP($A$265,$B$183:$H$194,4,(FALSE))</f>
        <v>-</v>
      </c>
      <c r="D273" s="1030">
        <f>VLOOKUP($A$265,$B$183:$H$194,5,(FALSE))</f>
        <v>0</v>
      </c>
      <c r="E273" s="1030">
        <f>VLOOKUP($A$265,$B$183:$H$194,6,(FALSE))</f>
        <v>0</v>
      </c>
      <c r="F273" s="1007">
        <f>VLOOKUP($A$265,$B$183:$H$194,7,(FALSE))</f>
        <v>2.7553200000000002</v>
      </c>
      <c r="H273" s="1037">
        <f>M268</f>
        <v>220</v>
      </c>
      <c r="I273" s="1033"/>
      <c r="J273" s="1033">
        <f>((H273-I272)/(I274-I272)*(K274-K272)+K272)</f>
        <v>-0.39</v>
      </c>
      <c r="K273" s="1033"/>
      <c r="L273" s="973"/>
      <c r="M273" s="1038"/>
      <c r="N273" s="1039"/>
      <c r="O273" s="1040"/>
    </row>
    <row r="274" spans="1:16" x14ac:dyDescent="0.2">
      <c r="A274" s="1007">
        <f>VLOOKUP($A$265,$B$196:$H$207,2,(FALSE))</f>
        <v>239.61</v>
      </c>
      <c r="B274" s="1030">
        <f>VLOOKUP($A$265,$B$196:$H$207,3,(FALSE))</f>
        <v>-0.39</v>
      </c>
      <c r="C274" s="1030" t="str">
        <f>VLOOKUP($A$265,$B$196:$H$207,4,(FALSE))</f>
        <v>-</v>
      </c>
      <c r="D274" s="1030">
        <f>VLOOKUP($A$265,$B$196:$H$207,5,(FALSE))</f>
        <v>0</v>
      </c>
      <c r="E274" s="1030">
        <f>VLOOKUP($A$265,$B$196:$H$207,6,(FALSE))</f>
        <v>0</v>
      </c>
      <c r="F274" s="1007">
        <f>VLOOKUP($A$265,$B$196:$H$207,7,(FALSE))</f>
        <v>2.8753200000000003</v>
      </c>
      <c r="H274" s="1031"/>
      <c r="I274" s="1033">
        <f>IF($H$273&lt;=$A$270,A270,IF($H$273&lt;=$A$271,A271,IF($H$273&lt;=$A$272,A272,IF($H$273&lt;=$A$273,A273,IF($H$273&lt;=$A$274,A274,250)))))</f>
        <v>229.61</v>
      </c>
      <c r="J274" s="1033"/>
      <c r="K274" s="1033">
        <f>IF($H$273&lt;=$A$270,B270,IF($H$273&lt;=$A$271,B271,IF($H$273&lt;=$A$272,B272,IF($H$273&lt;=$A$273,B273,IF($H$273&lt;=$A$274,B274,250)))))</f>
        <v>-0.39</v>
      </c>
      <c r="L274" s="973"/>
      <c r="M274" s="1038"/>
      <c r="O274" s="1041"/>
    </row>
    <row r="275" spans="1:16" ht="13.15" customHeight="1" x14ac:dyDescent="0.2">
      <c r="A275" s="1363" t="str">
        <f>B12</f>
        <v>Current Leakage</v>
      </c>
      <c r="B275" s="1363"/>
      <c r="C275" s="1363"/>
      <c r="D275" s="1363"/>
      <c r="E275" s="1020" t="s">
        <v>352</v>
      </c>
      <c r="F275" s="1020" t="s">
        <v>284</v>
      </c>
      <c r="H275" s="1362" t="s">
        <v>567</v>
      </c>
      <c r="I275" s="1362"/>
      <c r="J275" s="1362"/>
      <c r="K275" s="1362"/>
      <c r="L275" s="973"/>
      <c r="M275" s="1038"/>
      <c r="O275" s="1041"/>
    </row>
    <row r="276" spans="1:16" ht="15" x14ac:dyDescent="0.2">
      <c r="A276" s="1023" t="s">
        <v>355</v>
      </c>
      <c r="B276" s="1024">
        <f>B268</f>
        <v>2020</v>
      </c>
      <c r="C276" s="1024" t="str">
        <f>C268</f>
        <v>-</v>
      </c>
      <c r="D276" s="1024" t="str">
        <f>D268</f>
        <v>-</v>
      </c>
      <c r="E276" s="1020"/>
      <c r="F276" s="1020"/>
      <c r="H276" s="1031"/>
      <c r="I276" s="1042">
        <f>IF($H$277&lt;=$A$285,0,IF($H$277&lt;=$A$286,$A$285,IF($H$277&lt;=$A$287,$A$286,$A$287)))</f>
        <v>50</v>
      </c>
      <c r="J276" s="1033"/>
      <c r="K276" s="1042">
        <f>IF($H$277&lt;=$A$285,0,IF($H$277&lt;=$A$286,$B$285,IF($H$277&lt;=$A$287,$B$286,$B$287)))</f>
        <v>9.9999999999999995E-7</v>
      </c>
      <c r="L276" s="973"/>
      <c r="M276" s="1038"/>
      <c r="N276" s="1039"/>
      <c r="O276" s="1041"/>
    </row>
    <row r="277" spans="1:16" ht="15.75" customHeight="1" x14ac:dyDescent="0.2">
      <c r="A277" s="1007">
        <f>VLOOKUP($A$265,$K$131:$Q$142,2,(FALSE))</f>
        <v>0</v>
      </c>
      <c r="B277" s="1030">
        <f>VLOOKUP($A$265,$K$131:$Q$142,3,(FALSE))</f>
        <v>9.9999999999999995E-7</v>
      </c>
      <c r="C277" s="1030" t="str">
        <f>VLOOKUP($A$265,$K$131:$Q$142,4,(FALSE))</f>
        <v>-</v>
      </c>
      <c r="D277" s="1030">
        <f>VLOOKUP($A$265,$K$131:$Q$142,5,(FALSE))</f>
        <v>0</v>
      </c>
      <c r="E277" s="1030">
        <f>VLOOKUP($A$265,$K$131:$Q$142,6,(FALSE))</f>
        <v>0</v>
      </c>
      <c r="F277" s="1030">
        <f>VLOOKUP($A$265,$K$131:$Q$142,7,(FALSE))</f>
        <v>0.12</v>
      </c>
      <c r="H277" s="1037" t="str">
        <f>M269</f>
        <v>OL</v>
      </c>
      <c r="I277" s="1033"/>
      <c r="J277" s="1033" t="e">
        <f>((H277-I276)/(I278-I276)*(K278-K276)+K276)</f>
        <v>#VALUE!</v>
      </c>
      <c r="K277" s="1033"/>
      <c r="L277" s="985"/>
      <c r="M277" s="131"/>
      <c r="N277" s="131"/>
      <c r="O277" s="131"/>
    </row>
    <row r="278" spans="1:16" x14ac:dyDescent="0.2">
      <c r="A278" s="1007">
        <f>VLOOKUP($A$265,$K$144:$Q$155,2,(FALSE))</f>
        <v>20.8</v>
      </c>
      <c r="B278" s="1030">
        <f>VLOOKUP($A$265,$K$144:$Q$155,3,(FALSE))</f>
        <v>0.8</v>
      </c>
      <c r="C278" s="1030" t="str">
        <f>VLOOKUP($A$265,$K$144:$Q$155,4,(FALSE))</f>
        <v>-</v>
      </c>
      <c r="D278" s="1030">
        <f>VLOOKUP($A$265,$K$144:$Q$155,5,(FALSE))</f>
        <v>0</v>
      </c>
      <c r="E278" s="1030">
        <f>VLOOKUP($A$265,$K$144:$Q$155,6,(FALSE))</f>
        <v>0</v>
      </c>
      <c r="F278" s="1030">
        <f>VLOOKUP($A$265,$K$144:$Q$155,7,(FALSE))</f>
        <v>0.12272</v>
      </c>
      <c r="H278" s="1031"/>
      <c r="I278" s="1042">
        <f>IF($H$277&lt;=$A$285,$A$285,IF($H$277&lt;=$A$286,$A$286,IF($H$277&lt;=$A$287,$A$287,$A$288)))</f>
        <v>100</v>
      </c>
      <c r="J278" s="1033"/>
      <c r="K278" s="1042">
        <f>IF($H$277&lt;=$A$285,$B$285,IF($H$277&lt;=$A$286,$B$286,IF($H$277&lt;=$A$287,$B$287,$B$288)))</f>
        <v>9.9999999999999995E-7</v>
      </c>
      <c r="M278" s="131"/>
      <c r="N278" s="131"/>
      <c r="O278" s="131"/>
    </row>
    <row r="279" spans="1:16" x14ac:dyDescent="0.2">
      <c r="A279" s="1007">
        <f>VLOOKUP($A$265,$K$157:$Q$168,2,(FALSE))</f>
        <v>51.7</v>
      </c>
      <c r="B279" s="1030">
        <f>VLOOKUP($A$265,$K$157:$Q$168,3,(FALSE))</f>
        <v>1.7</v>
      </c>
      <c r="C279" s="1030" t="str">
        <f>VLOOKUP($A$265,$K$157:$Q$168,4,(FALSE))</f>
        <v>-</v>
      </c>
      <c r="D279" s="1030">
        <f>VLOOKUP($A$265,$K$157:$Q$168,5,(FALSE))</f>
        <v>0</v>
      </c>
      <c r="E279" s="1030">
        <f>VLOOKUP($A$265,$K$157:$Q$168,6,(FALSE))</f>
        <v>0</v>
      </c>
      <c r="F279" s="1030">
        <f>VLOOKUP($A$265,$K$157:$Q$168,7,(FALSE))</f>
        <v>0.30503000000000002</v>
      </c>
      <c r="H279" s="1362" t="s">
        <v>39</v>
      </c>
      <c r="I279" s="1362"/>
      <c r="J279" s="1362"/>
      <c r="K279" s="1362"/>
      <c r="M279" s="131"/>
      <c r="N279" s="131"/>
      <c r="O279" s="131"/>
    </row>
    <row r="280" spans="1:16" x14ac:dyDescent="0.2">
      <c r="A280" s="1007">
        <f>VLOOKUP($A$265,$K$170:$Q$181,2,(FALSE))</f>
        <v>103.4</v>
      </c>
      <c r="B280" s="1030">
        <f>VLOOKUP($A$265,$K$170:$Q$181,3,(FALSE))</f>
        <v>3.4</v>
      </c>
      <c r="C280" s="1030" t="str">
        <f>VLOOKUP($A$265,$K$170:$Q$181,4,(FALSE))</f>
        <v>-</v>
      </c>
      <c r="D280" s="1030">
        <f>VLOOKUP($A$265,$K$170:$Q$181,5,(FALSE))</f>
        <v>0</v>
      </c>
      <c r="E280" s="1030">
        <f>VLOOKUP($A$265,$K$170:$Q$181,6,(FALSE))</f>
        <v>0</v>
      </c>
      <c r="F280" s="1030">
        <f>VLOOKUP($A$265,$K$170:$Q$181,7,(FALSE))</f>
        <v>0.61006000000000005</v>
      </c>
      <c r="H280" s="1031"/>
      <c r="I280" s="1033">
        <f>IF($H$281&lt;=$A$291,0,IF($H$281&lt;=$A$292,$A$291,IF($H$281&lt;=$A$293,$A$292,$A$293)))</f>
        <v>0.10199999999999999</v>
      </c>
      <c r="J280" s="1033"/>
      <c r="K280" s="1033">
        <f>IF($H$281&lt;=$A$291,0,IF($H$281&lt;=$A$292,$B$291,IF($H$281&lt;=$A$293,$B$292,$B$293)))</f>
        <v>-2E-3</v>
      </c>
      <c r="M280" s="131"/>
      <c r="N280" s="131"/>
      <c r="O280" s="131"/>
    </row>
    <row r="281" spans="1:16" ht="16.5" customHeight="1" x14ac:dyDescent="0.2">
      <c r="A281" s="1007">
        <f>VLOOKUP($A$265,$K$183:$Q$194,2,(FALSE))</f>
        <v>507.2</v>
      </c>
      <c r="B281" s="1030">
        <f>VLOOKUP($A$265,$K$183:$Q$194,3,(FALSE))</f>
        <v>7.2</v>
      </c>
      <c r="C281" s="1030" t="str">
        <f>VLOOKUP($A$265,$K$183:$Q$194,4,(FALSE))</f>
        <v>-</v>
      </c>
      <c r="D281" s="1030">
        <f>VLOOKUP($A$265,$K$183:$Q$194,5,(FALSE))</f>
        <v>0</v>
      </c>
      <c r="E281" s="1030">
        <f>VLOOKUP($A$265,$K$183:$Q$194,6,(FALSE))</f>
        <v>0</v>
      </c>
      <c r="F281" s="1030">
        <f>VLOOKUP($A$265,$K$183:$Q$194,7,(FALSE))</f>
        <v>2.99248</v>
      </c>
      <c r="H281" s="1043">
        <f>M270</f>
        <v>0.12</v>
      </c>
      <c r="I281" s="1033"/>
      <c r="J281" s="1033">
        <f>((H281-I280)/(I282-I280)*(K282-K280)+K280)</f>
        <v>-1.909502512562814E-3</v>
      </c>
      <c r="K281" s="1033"/>
      <c r="M281" s="131"/>
      <c r="N281" s="131"/>
      <c r="O281" s="131"/>
      <c r="P281" s="1044"/>
    </row>
    <row r="282" spans="1:16" x14ac:dyDescent="0.2">
      <c r="A282" s="1007">
        <f>VLOOKUP($A$265,$K$196:$Q$207,2,(FALSE))</f>
        <v>920</v>
      </c>
      <c r="B282" s="1030">
        <f>VLOOKUP($A$265,$K$196:$Q$207,3,(FALSE))</f>
        <v>9.9999999999999995E-7</v>
      </c>
      <c r="C282" s="1030" t="str">
        <f>VLOOKUP($A$265,$K$196:$Q$207,4,(FALSE))</f>
        <v>-</v>
      </c>
      <c r="D282" s="1030">
        <f>VLOOKUP($A$265,$K$196:$Q$207,5,(FALSE))</f>
        <v>0</v>
      </c>
      <c r="E282" s="1030">
        <f>VLOOKUP($A$265,$K$196:$Q$207,6,(FALSE))</f>
        <v>0</v>
      </c>
      <c r="F282" s="1030">
        <f>VLOOKUP($A$265,$K$196:$Q$207,7,(FALSE))</f>
        <v>2.99</v>
      </c>
      <c r="H282" s="1031"/>
      <c r="I282" s="1033">
        <f>IF($H$281&lt;=$A$291,$A$291,IF($H$281&lt;=$A$292,$A$292,IF($H$281&lt;=$A$293,$A$293,$A$294)))</f>
        <v>0.5</v>
      </c>
      <c r="J282" s="1033"/>
      <c r="K282" s="1033">
        <f>IF($H$281&lt;=$A$291,$B$291,IF($H$281&lt;=$A$292,$B$292,IF($H$281&lt;=$A$293,$B$293,$B$294)))</f>
        <v>9.9999999999999995E-7</v>
      </c>
      <c r="P282" s="1045"/>
    </row>
    <row r="283" spans="1:16" x14ac:dyDescent="0.2">
      <c r="A283" s="1363" t="str">
        <f>B20</f>
        <v>Main-PE</v>
      </c>
      <c r="B283" s="1363"/>
      <c r="C283" s="1363"/>
      <c r="D283" s="1363"/>
      <c r="E283" s="1020" t="s">
        <v>352</v>
      </c>
      <c r="F283" s="1020" t="s">
        <v>284</v>
      </c>
      <c r="H283" s="1362" t="s">
        <v>568</v>
      </c>
      <c r="I283" s="1362"/>
      <c r="J283" s="1362"/>
      <c r="K283" s="1362"/>
      <c r="P283" s="1045"/>
    </row>
    <row r="284" spans="1:16" ht="15" x14ac:dyDescent="0.2">
      <c r="A284" s="1023" t="s">
        <v>564</v>
      </c>
      <c r="B284" s="1024">
        <f>B276</f>
        <v>2020</v>
      </c>
      <c r="C284" s="1024" t="str">
        <f>C276</f>
        <v>-</v>
      </c>
      <c r="D284" s="1024" t="str">
        <f>D276</f>
        <v>-</v>
      </c>
      <c r="E284" s="1020"/>
      <c r="F284" s="1020"/>
      <c r="H284" s="1031"/>
      <c r="I284" s="1033">
        <f>IF($H$285&lt;=$A$278,A277,IF($H$285&lt;=$A$279,A278,IF($H$285&lt;=$A$280,A279,IF($H$285&lt;=$A$281,A280,IF($H$285&lt;=$A$282,A281,A282)))))</f>
        <v>507.2</v>
      </c>
      <c r="J284" s="1033"/>
      <c r="K284" s="1033">
        <f>IF($H$285&lt;=$A$278,B277,IF($H$285&lt;=$A$279,B278,IF($H$285&lt;=$A$280,B279,IF($H$285&lt;=$A$281,B280,IF($H$285&lt;=$A$282,B281,B282)))))</f>
        <v>7.2</v>
      </c>
      <c r="P284" s="1045"/>
    </row>
    <row r="285" spans="1:16" ht="15.75" customHeight="1" x14ac:dyDescent="0.2">
      <c r="A285" s="1007">
        <f>VLOOKUP($A$265,$B$212:$H$223,2,(FALSE))</f>
        <v>10</v>
      </c>
      <c r="B285" s="1030">
        <f>VLOOKUP($A$265,$B$212:$H$223,3,(FALSE))</f>
        <v>9.9999999999999995E-7</v>
      </c>
      <c r="C285" s="1030" t="str">
        <f>VLOOKUP($A$265,$B$212:$H$223,4,(FALSE))</f>
        <v>-</v>
      </c>
      <c r="D285" s="1030">
        <f>VLOOKUP($A$265,$B$212:$H$223,5,(FALSE))</f>
        <v>0</v>
      </c>
      <c r="E285" s="1030">
        <f>VLOOKUP($A$265,$B$212:$H$223,6,(FALSE))</f>
        <v>0</v>
      </c>
      <c r="F285" s="1030">
        <f>VLOOKUP($A$265,$B$212:$H$223,7,(FALSE))</f>
        <v>0</v>
      </c>
      <c r="H285" s="1037">
        <f>M271</f>
        <v>555</v>
      </c>
      <c r="I285" s="1033"/>
      <c r="J285" s="1033">
        <f>((H285-I284)/(I286-I284)*(K286-K284)+K284)</f>
        <v>6.3662791855620151</v>
      </c>
      <c r="K285" s="1033"/>
    </row>
    <row r="286" spans="1:16" x14ac:dyDescent="0.2">
      <c r="A286" s="1007">
        <f>VLOOKUP($A$265,$B$225:$H$236,2,(FALSE))</f>
        <v>20</v>
      </c>
      <c r="B286" s="1030">
        <f>VLOOKUP($A$265,$B$225:$H$236,3,(FALSE))</f>
        <v>9.9999999999999995E-7</v>
      </c>
      <c r="C286" s="1030" t="str">
        <f>VLOOKUP($A$265,$B$225:$H$236,4,(FALSE))</f>
        <v>-</v>
      </c>
      <c r="D286" s="1030">
        <f>VLOOKUP($A$265,$B$225:$H$236,5,(FALSE))</f>
        <v>0</v>
      </c>
      <c r="E286" s="1030">
        <f>VLOOKUP($A$265,$B$225:$H$236,6,(FALSE))</f>
        <v>0</v>
      </c>
      <c r="F286" s="1030">
        <f>VLOOKUP($A$265,$B$225:$H$236,7,(FALSE))</f>
        <v>0</v>
      </c>
      <c r="H286" s="1031"/>
      <c r="I286" s="1042">
        <f>IF($H$285&lt;=$A$278,A278,IF($H$285&lt;=$A$279,A279,IF($H$285&lt;=$A$280,A280,IF($H$285&lt;=$A$281,A281,IF($H$285&lt;=$A$282,A282,"250")))))</f>
        <v>920</v>
      </c>
      <c r="J286" s="1033"/>
      <c r="K286" s="1033">
        <f>IF($H$285&lt;=$A$278,B278,IF($H$285&lt;=$A$279,B279,IF($H$285&lt;=$A$280,B280,IF($H$285&lt;=$A$281,B281,IF($H$285&lt;=$A$282,B282,IF($H$285&lt;="250",C298,"-"))))))</f>
        <v>9.9999999999999995E-7</v>
      </c>
    </row>
    <row r="287" spans="1:16" x14ac:dyDescent="0.2">
      <c r="A287" s="1007">
        <f>VLOOKUP($A$265,$B$238:$H$249,2,(FALSE))</f>
        <v>50</v>
      </c>
      <c r="B287" s="1030">
        <f>VLOOKUP($A$265,$B$238:$H$249,3,(FALSE))</f>
        <v>9.9999999999999995E-7</v>
      </c>
      <c r="C287" s="1030" t="str">
        <f>VLOOKUP($A$265,$B$238:$H$249,4,(FALSE))</f>
        <v>-</v>
      </c>
      <c r="D287" s="1030">
        <f>VLOOKUP($A$265,$B$238:$H$249,5,(FALSE))</f>
        <v>0</v>
      </c>
      <c r="E287" s="1030">
        <f>VLOOKUP($A$265,$B$238:$H$249,6,(FALSE))</f>
        <v>0</v>
      </c>
      <c r="F287" s="1030">
        <f>VLOOKUP($A$265,$B$238:$H$249,7,(FALSE))</f>
        <v>0</v>
      </c>
      <c r="H287" s="1362" t="s">
        <v>568</v>
      </c>
      <c r="I287" s="1362"/>
      <c r="J287" s="1362"/>
      <c r="K287" s="1362"/>
    </row>
    <row r="288" spans="1:16" x14ac:dyDescent="0.2">
      <c r="A288" s="1007">
        <f>VLOOKUP($A$265,$B$251:$H$262,2,(FALSE))</f>
        <v>100</v>
      </c>
      <c r="B288" s="1030">
        <f>VLOOKUP($A$265,$B$251:$H$262,3,(FALSE))</f>
        <v>9.9999999999999995E-7</v>
      </c>
      <c r="C288" s="1030" t="str">
        <f>VLOOKUP($A$265,$B$251:$H$262,4,(FALSE))</f>
        <v>-</v>
      </c>
      <c r="D288" s="1030">
        <f>VLOOKUP($A$265,$B$251:$H$262,5,(FALSE))</f>
        <v>0</v>
      </c>
      <c r="E288" s="1030">
        <f>VLOOKUP($A$265,$B$251:$H$262,6,(FALSE))</f>
        <v>0</v>
      </c>
      <c r="F288" s="1030">
        <f>VLOOKUP($A$265,$B$251:$H$262,7,(FALSE))</f>
        <v>0</v>
      </c>
      <c r="H288" s="1031"/>
      <c r="I288" s="1033">
        <f>IF(H289&lt;=$A$278,$A$277,IF(H289&lt;=$A$279,$A$278,IF(H289&lt;=$A$280,$A$279,IF(H289&lt;=$A$281,$A$280,$A$281))))</f>
        <v>0</v>
      </c>
      <c r="J288" s="1033"/>
      <c r="K288" s="1033">
        <f>IF(H289&lt;=$A$278,$B$277,IF(H289&lt;=$A$279,$B$278,IF(H289&lt;=$A$280,$B$279,IF(H289&lt;=$A$281,$B$280,$B$281))))</f>
        <v>9.9999999999999995E-7</v>
      </c>
    </row>
    <row r="289" spans="1:25" ht="15.75" customHeight="1" x14ac:dyDescent="0.2">
      <c r="A289" s="1363" t="str">
        <f>B26</f>
        <v>Resistance</v>
      </c>
      <c r="B289" s="1363"/>
      <c r="C289" s="1363"/>
      <c r="D289" s="1363"/>
      <c r="E289" s="1020" t="s">
        <v>352</v>
      </c>
      <c r="F289" s="1020" t="s">
        <v>284</v>
      </c>
      <c r="H289" s="1037">
        <f>M272</f>
        <v>10</v>
      </c>
      <c r="I289" s="1033"/>
      <c r="J289" s="1033">
        <f>((H289-I288)/(I290-I288)*(K290-K288)+K288)</f>
        <v>0.38461590384615379</v>
      </c>
      <c r="K289" s="1033"/>
    </row>
    <row r="290" spans="1:25" ht="15" x14ac:dyDescent="0.2">
      <c r="A290" s="1023" t="s">
        <v>565</v>
      </c>
      <c r="B290" s="1024">
        <f>B284</f>
        <v>2020</v>
      </c>
      <c r="C290" s="1024" t="str">
        <f>C284</f>
        <v>-</v>
      </c>
      <c r="D290" s="1024" t="str">
        <f>D284</f>
        <v>-</v>
      </c>
      <c r="E290" s="1020"/>
      <c r="F290" s="1020"/>
      <c r="H290" s="1031"/>
      <c r="I290" s="1033">
        <f>IF(H289&lt;=$A$278,$A$278,IF(H289&lt;=$A$279,$A$279,IF(H289&lt;=$A$280,$A$280,IF(H289&lt;=$A$281,$A$281,$A$282))))</f>
        <v>20.8</v>
      </c>
      <c r="J290" s="1033"/>
      <c r="K290" s="1033">
        <f>IF(H289&lt;=$A$278,$B$278,IF(H289&lt;=$A$279,$B$279,IF(H289&lt;=$A$280,$B$280,IF(H289&lt;=$A$281,$B$281,$B$282))))</f>
        <v>0.8</v>
      </c>
    </row>
    <row r="291" spans="1:25" ht="15" x14ac:dyDescent="0.2">
      <c r="A291" s="457">
        <f>VLOOKUP($A$265,$K$212:$Q$223,2,(FALSE))</f>
        <v>1E-3</v>
      </c>
      <c r="B291" s="1028">
        <f>VLOOKUP($A$265,$K$212:$Q$223,3,(FALSE))</f>
        <v>-1E-3</v>
      </c>
      <c r="C291" s="1028" t="str">
        <f>VLOOKUP($A$265,$K$212:$Q$223,4,(FALSE))</f>
        <v>-</v>
      </c>
      <c r="D291" s="1028">
        <f>VLOOKUP($A$265,$K$212:$Q$223,5,(FALSE))</f>
        <v>0</v>
      </c>
      <c r="E291" s="1028">
        <f>VLOOKUP($A$265,$K$212:$Q$223,6,(FALSE))</f>
        <v>0</v>
      </c>
      <c r="F291" s="1028">
        <f>VLOOKUP($A$265,$K$212:$Q$223,7,(FALSE))</f>
        <v>1.2E-5</v>
      </c>
      <c r="H291" s="1364" t="s">
        <v>284</v>
      </c>
      <c r="I291" s="1364"/>
      <c r="J291" s="1364"/>
      <c r="K291" s="1364"/>
    </row>
    <row r="292" spans="1:25" ht="15" x14ac:dyDescent="0.2">
      <c r="A292" s="457">
        <f>VLOOKUP($A$265,$K$225:$Q$236,2,(FALSE))</f>
        <v>0.10199999999999999</v>
      </c>
      <c r="B292" s="1028">
        <f>VLOOKUP($A$265,$K$225:$Q$236,3,(FALSE))</f>
        <v>-2E-3</v>
      </c>
      <c r="C292" s="1028" t="str">
        <f>VLOOKUP($A$265,$K$225:$Q$236,4,(FALSE))</f>
        <v>-</v>
      </c>
      <c r="D292" s="1028">
        <f>VLOOKUP($A$265,$K$225:$Q$236,5,(FALSE))</f>
        <v>0</v>
      </c>
      <c r="E292" s="1028">
        <f>VLOOKUP($A$265,$K$225:$Q$236,6,(FALSE))</f>
        <v>0</v>
      </c>
      <c r="F292" s="1028">
        <f>VLOOKUP($A$265,$K$225:$Q$236,7,(FALSE))</f>
        <v>1.224E-3</v>
      </c>
      <c r="H292" s="1031"/>
      <c r="I292" s="1046">
        <f>IF($H$273&lt;=$A$270,A269,IF($H$273&lt;=$A$271,A270,IF($H$273&lt;=$A$272,A271,IF($H$273&lt;=$A$273,A272,IF($H$273&lt;=$A$274,A273,A274)))))</f>
        <v>219.61</v>
      </c>
      <c r="J292" s="1033"/>
      <c r="K292" s="1033">
        <f>IF($H$273&lt;=$A$270,F269,IF($H$273&lt;=$A$271,F270,IF($H$273&lt;=$A$272,F271,IF($H$273&lt;=$A$273,F272,IF($H$273&lt;=$A$274,F273,F274)))))</f>
        <v>2.6353200000000001</v>
      </c>
    </row>
    <row r="293" spans="1:25" ht="15.75" customHeight="1" x14ac:dyDescent="0.2">
      <c r="A293" s="457">
        <f>VLOOKUP($A$265,$K$238:$Q$249,2,(FALSE))</f>
        <v>0.5</v>
      </c>
      <c r="B293" s="1028">
        <f>VLOOKUP($A$265,$K$238:$Q$249,3,(FALSE))</f>
        <v>9.9999999999999995E-7</v>
      </c>
      <c r="C293" s="1028" t="str">
        <f>VLOOKUP($A$265,$K$238:$Q$249,4,(FALSE))</f>
        <v>-</v>
      </c>
      <c r="D293" s="1028">
        <f>VLOOKUP($A$265,$K$238:$Q$249,5,(FALSE))</f>
        <v>0</v>
      </c>
      <c r="E293" s="1028">
        <f>VLOOKUP($A$265,$K$238:$Q$249,6,(FALSE))</f>
        <v>0</v>
      </c>
      <c r="F293" s="1028">
        <f>VLOOKUP($A$265,$K$238:$Q$249,7,(FALSE))</f>
        <v>6.0000000000000001E-3</v>
      </c>
      <c r="H293" s="1037">
        <f>N268</f>
        <v>219.61</v>
      </c>
      <c r="I293" s="1033"/>
      <c r="J293" s="1033">
        <f>((H293-I292)/(I294-I292)*(K294-K292)+K292)</f>
        <v>2.6353200000000001</v>
      </c>
      <c r="K293" s="1033"/>
    </row>
    <row r="294" spans="1:25" ht="15" x14ac:dyDescent="0.2">
      <c r="A294" s="457">
        <f>VLOOKUP($A$265,$K$251:$Q$262,2,(FALSE))</f>
        <v>1</v>
      </c>
      <c r="B294" s="1028">
        <f>VLOOKUP($A$265,$K$251:$Q$262,3,(FALSE))</f>
        <v>-1E-3</v>
      </c>
      <c r="C294" s="1028" t="str">
        <f>VLOOKUP($A$265,$K$251:$Q$262,4,(FALSE))</f>
        <v>-</v>
      </c>
      <c r="D294" s="1028">
        <f>VLOOKUP($A$265,$K$251:$Q$262,5,(FALSE))</f>
        <v>0</v>
      </c>
      <c r="E294" s="1028">
        <f>VLOOKUP($A$265,$K$251:$Q$262,6,(FALSE))</f>
        <v>0</v>
      </c>
      <c r="F294" s="1028">
        <f>VLOOKUP($A$265,$K$251:$Q$262,7,(FALSE))</f>
        <v>1.2E-2</v>
      </c>
      <c r="H294" s="1031"/>
      <c r="I294" s="1046">
        <f>IF($H$273&lt;=$A$270,A270,IF($H$273&lt;=$A$271,A271,IF($H$273&lt;=$A$272,A272,IF($H$273&lt;=$A$273,A273,IF($H$273&lt;=$A$274,A274,250)))))</f>
        <v>229.61</v>
      </c>
      <c r="J294" s="1033"/>
      <c r="K294" s="1033">
        <f>IF($H$273&lt;=$A$270,F270,IF($H$273&lt;=$A$271,F271,IF($H$273&lt;=$A$272,F272,IF($H$273&lt;=$A$273,F273,IF($H$273&lt;=$A$274,F274,C307)))))</f>
        <v>2.7553200000000002</v>
      </c>
    </row>
    <row r="297" spans="1:25" ht="13.5" thickBot="1" x14ac:dyDescent="0.25"/>
    <row r="298" spans="1:25" ht="15" x14ac:dyDescent="0.25">
      <c r="A298" s="1047" t="str">
        <f>[5]ID!B43</f>
        <v>Electrical Safety Analyzer, Merek : Fluke, Model : ESA 615, SN : 4670010</v>
      </c>
      <c r="B298" s="1047"/>
      <c r="C298" s="1047"/>
      <c r="D298" s="1047"/>
      <c r="E298" s="1047"/>
      <c r="F298" s="1047"/>
      <c r="G298" s="1047"/>
      <c r="H298" s="1047"/>
      <c r="I298" s="1047"/>
      <c r="J298" s="1047"/>
      <c r="K298" s="1047"/>
      <c r="L298" s="1047"/>
      <c r="N298" s="1365">
        <f>A311</f>
        <v>9</v>
      </c>
      <c r="O298" s="1366"/>
      <c r="P298" s="1366"/>
      <c r="Q298" s="1366"/>
      <c r="R298" s="1366"/>
      <c r="S298" s="1366"/>
      <c r="T298" s="1366"/>
      <c r="U298" s="1366"/>
      <c r="V298" s="1366"/>
      <c r="W298" s="1366"/>
      <c r="X298" s="1366"/>
      <c r="Y298" s="1367"/>
    </row>
    <row r="299" spans="1:25" ht="15" x14ac:dyDescent="0.25">
      <c r="A299" s="1047" t="s">
        <v>374</v>
      </c>
      <c r="B299" s="1048"/>
      <c r="C299" s="1049"/>
      <c r="D299" s="1050"/>
      <c r="E299" s="1050"/>
      <c r="F299" s="1050"/>
      <c r="G299" s="1050"/>
      <c r="H299" s="1050"/>
      <c r="I299" s="1051">
        <f>C5</f>
        <v>2020</v>
      </c>
      <c r="J299" s="1052">
        <f>D5</f>
        <v>2019</v>
      </c>
      <c r="K299" s="1052" t="str">
        <f>E5</f>
        <v>-</v>
      </c>
      <c r="L299" s="1053">
        <v>1</v>
      </c>
      <c r="N299" s="1054">
        <v>1</v>
      </c>
      <c r="O299" s="1055" t="s">
        <v>375</v>
      </c>
      <c r="P299" s="1056"/>
      <c r="Q299" s="1056"/>
      <c r="R299" s="1056"/>
      <c r="S299" s="1056"/>
      <c r="T299" s="1056"/>
      <c r="U299" s="1056"/>
      <c r="V299" s="1056"/>
      <c r="W299" s="1056"/>
      <c r="X299" s="1056"/>
      <c r="Y299" s="1057"/>
    </row>
    <row r="300" spans="1:25" ht="15" x14ac:dyDescent="0.25">
      <c r="A300" s="1047" t="s">
        <v>376</v>
      </c>
      <c r="B300" s="1048"/>
      <c r="C300" s="1049"/>
      <c r="D300" s="1050"/>
      <c r="E300" s="1050"/>
      <c r="F300" s="1050"/>
      <c r="G300" s="1050"/>
      <c r="H300" s="1050"/>
      <c r="I300" s="1051">
        <f>J5</f>
        <v>2019</v>
      </c>
      <c r="J300" s="1052">
        <f>K5</f>
        <v>2017</v>
      </c>
      <c r="K300" s="1052" t="str">
        <f>L5</f>
        <v>-</v>
      </c>
      <c r="L300" s="1053">
        <v>2</v>
      </c>
      <c r="N300" s="1054">
        <v>2</v>
      </c>
      <c r="O300" s="1055" t="s">
        <v>375</v>
      </c>
      <c r="P300" s="1056"/>
      <c r="Q300" s="1056"/>
      <c r="R300" s="1056"/>
      <c r="S300" s="1056"/>
      <c r="T300" s="1056"/>
      <c r="U300" s="1056"/>
      <c r="V300" s="1056"/>
      <c r="W300" s="1056"/>
      <c r="X300" s="1056"/>
      <c r="Y300" s="1057"/>
    </row>
    <row r="301" spans="1:25" ht="15" x14ac:dyDescent="0.25">
      <c r="A301" s="1047" t="s">
        <v>377</v>
      </c>
      <c r="B301" s="1048"/>
      <c r="C301" s="1049"/>
      <c r="D301" s="1050"/>
      <c r="E301" s="1050"/>
      <c r="F301" s="1050"/>
      <c r="G301" s="1050"/>
      <c r="H301" s="1050"/>
      <c r="I301" s="1051">
        <f>Q5</f>
        <v>2022</v>
      </c>
      <c r="J301" s="1052">
        <f>R5</f>
        <v>2021</v>
      </c>
      <c r="K301" s="1052">
        <f>S5</f>
        <v>2018</v>
      </c>
      <c r="L301" s="1053">
        <v>3</v>
      </c>
      <c r="N301" s="1054">
        <v>3</v>
      </c>
      <c r="O301" s="1055" t="s">
        <v>375</v>
      </c>
      <c r="P301" s="1056"/>
      <c r="Q301" s="1056"/>
      <c r="R301" s="1056"/>
      <c r="S301" s="1056"/>
      <c r="T301" s="1056"/>
      <c r="U301" s="1056"/>
      <c r="V301" s="1056"/>
      <c r="W301" s="1056"/>
      <c r="X301" s="1056"/>
      <c r="Y301" s="1057"/>
    </row>
    <row r="302" spans="1:25" ht="15" x14ac:dyDescent="0.25">
      <c r="A302" s="1047" t="s">
        <v>378</v>
      </c>
      <c r="B302" s="1048"/>
      <c r="C302" s="1049"/>
      <c r="D302" s="1050"/>
      <c r="E302" s="1050"/>
      <c r="F302" s="1050"/>
      <c r="G302" s="1050"/>
      <c r="H302" s="1050"/>
      <c r="I302" s="1051">
        <f>C36</f>
        <v>2021</v>
      </c>
      <c r="J302" s="1052">
        <f>D36</f>
        <v>2019</v>
      </c>
      <c r="K302" s="1052" t="str">
        <f>E36</f>
        <v>-</v>
      </c>
      <c r="L302" s="1053">
        <v>4</v>
      </c>
      <c r="N302" s="1054">
        <v>4</v>
      </c>
      <c r="O302" s="1055" t="s">
        <v>375</v>
      </c>
      <c r="P302" s="1056"/>
      <c r="Q302" s="1056"/>
      <c r="R302" s="1056"/>
      <c r="S302" s="1056"/>
      <c r="T302" s="1056"/>
      <c r="U302" s="1056"/>
      <c r="V302" s="1056"/>
      <c r="W302" s="1056"/>
      <c r="X302" s="1056"/>
      <c r="Y302" s="1057"/>
    </row>
    <row r="303" spans="1:25" ht="15" x14ac:dyDescent="0.25">
      <c r="A303" s="1047" t="s">
        <v>379</v>
      </c>
      <c r="B303" s="1049"/>
      <c r="C303" s="1049"/>
      <c r="D303" s="1050"/>
      <c r="E303" s="1050"/>
      <c r="F303" s="1050"/>
      <c r="G303" s="1050"/>
      <c r="H303" s="1050"/>
      <c r="I303" s="1051">
        <f>J36</f>
        <v>2021</v>
      </c>
      <c r="J303" s="1052">
        <f>K36</f>
        <v>2019</v>
      </c>
      <c r="K303" s="1052" t="str">
        <f>L36</f>
        <v>-</v>
      </c>
      <c r="L303" s="1053">
        <v>5</v>
      </c>
      <c r="N303" s="1054">
        <v>5</v>
      </c>
      <c r="O303" s="1055" t="s">
        <v>375</v>
      </c>
      <c r="P303" s="1056"/>
      <c r="Q303" s="1056"/>
      <c r="R303" s="1056"/>
      <c r="S303" s="1056"/>
      <c r="T303" s="1056"/>
      <c r="U303" s="1056"/>
      <c r="V303" s="1056"/>
      <c r="W303" s="1056"/>
      <c r="X303" s="1056"/>
      <c r="Y303" s="1057"/>
    </row>
    <row r="304" spans="1:25" ht="15" x14ac:dyDescent="0.25">
      <c r="A304" s="1047" t="s">
        <v>380</v>
      </c>
      <c r="B304" s="1049"/>
      <c r="C304" s="1049"/>
      <c r="D304" s="1050"/>
      <c r="E304" s="1050"/>
      <c r="F304" s="1050"/>
      <c r="G304" s="1050"/>
      <c r="H304" s="1050"/>
      <c r="I304" s="1051">
        <f>Q36</f>
        <v>2019</v>
      </c>
      <c r="J304" s="1052">
        <f>R36</f>
        <v>2018</v>
      </c>
      <c r="K304" s="1052" t="str">
        <f>S36</f>
        <v>-</v>
      </c>
      <c r="L304" s="1053">
        <v>6</v>
      </c>
      <c r="N304" s="1054">
        <v>6</v>
      </c>
      <c r="O304" s="1055" t="s">
        <v>375</v>
      </c>
      <c r="P304" s="1056"/>
      <c r="Q304" s="1056"/>
      <c r="R304" s="1056"/>
      <c r="S304" s="1056"/>
      <c r="T304" s="1056"/>
      <c r="U304" s="1056"/>
      <c r="V304" s="1056"/>
      <c r="W304" s="1056"/>
      <c r="X304" s="1056"/>
      <c r="Y304" s="1057"/>
    </row>
    <row r="305" spans="1:25" ht="15" x14ac:dyDescent="0.25">
      <c r="A305" s="1047" t="s">
        <v>381</v>
      </c>
      <c r="B305" s="1049"/>
      <c r="C305" s="1049"/>
      <c r="D305" s="1050"/>
      <c r="E305" s="1050"/>
      <c r="F305" s="1050"/>
      <c r="G305" s="1050"/>
      <c r="H305" s="1050"/>
      <c r="I305" s="1051">
        <f>C67</f>
        <v>2020</v>
      </c>
      <c r="J305" s="1052">
        <f>D67</f>
        <v>2018</v>
      </c>
      <c r="K305" s="1052" t="str">
        <f>E67</f>
        <v>-</v>
      </c>
      <c r="L305" s="1053">
        <v>7</v>
      </c>
      <c r="N305" s="1054">
        <v>7</v>
      </c>
      <c r="O305" s="1055" t="s">
        <v>375</v>
      </c>
      <c r="P305" s="1056"/>
      <c r="Q305" s="1056"/>
      <c r="R305" s="1056"/>
      <c r="S305" s="1056"/>
      <c r="T305" s="1056"/>
      <c r="U305" s="1056"/>
      <c r="V305" s="1056"/>
      <c r="W305" s="1056"/>
      <c r="X305" s="1056"/>
      <c r="Y305" s="1057"/>
    </row>
    <row r="306" spans="1:25" ht="15" x14ac:dyDescent="0.25">
      <c r="A306" s="1047" t="s">
        <v>154</v>
      </c>
      <c r="B306" s="1049"/>
      <c r="C306" s="1049"/>
      <c r="D306" s="1050"/>
      <c r="E306" s="1050"/>
      <c r="F306" s="1050"/>
      <c r="G306" s="1050"/>
      <c r="H306" s="1050"/>
      <c r="I306" s="1058">
        <f>J67</f>
        <v>2022</v>
      </c>
      <c r="J306" s="1052">
        <f>K67</f>
        <v>2020</v>
      </c>
      <c r="K306" s="1052" t="str">
        <f>L67</f>
        <v>-</v>
      </c>
      <c r="L306" s="1053">
        <v>8</v>
      </c>
      <c r="N306" s="1054">
        <v>8</v>
      </c>
      <c r="O306" s="1055" t="s">
        <v>375</v>
      </c>
      <c r="P306" s="1056"/>
      <c r="Q306" s="1056"/>
      <c r="R306" s="1056"/>
      <c r="S306" s="1056"/>
      <c r="T306" s="1056"/>
      <c r="U306" s="1056"/>
      <c r="V306" s="1056"/>
      <c r="W306" s="1056"/>
      <c r="X306" s="1056"/>
      <c r="Y306" s="1057"/>
    </row>
    <row r="307" spans="1:25" ht="15" x14ac:dyDescent="0.25">
      <c r="A307" s="1047" t="s">
        <v>382</v>
      </c>
      <c r="B307" s="1049"/>
      <c r="C307" s="1049"/>
      <c r="D307" s="1050"/>
      <c r="E307" s="1050"/>
      <c r="F307" s="1050"/>
      <c r="G307" s="1050"/>
      <c r="H307" s="1050"/>
      <c r="I307" s="1058">
        <f>Q67</f>
        <v>2020</v>
      </c>
      <c r="J307" s="1052" t="str">
        <f>R67</f>
        <v>-</v>
      </c>
      <c r="K307" s="1052" t="str">
        <f>S67</f>
        <v>-</v>
      </c>
      <c r="L307" s="1053">
        <v>9</v>
      </c>
      <c r="N307" s="1054">
        <v>9</v>
      </c>
      <c r="O307" s="1055" t="s">
        <v>375</v>
      </c>
      <c r="P307" s="1056"/>
      <c r="Q307" s="1056"/>
      <c r="R307" s="1056"/>
      <c r="S307" s="1056"/>
      <c r="T307" s="1056"/>
      <c r="U307" s="1056"/>
      <c r="V307" s="1056"/>
      <c r="W307" s="1056"/>
      <c r="X307" s="1056"/>
      <c r="Y307" s="1057"/>
    </row>
    <row r="308" spans="1:25" ht="15" x14ac:dyDescent="0.25">
      <c r="A308" s="1047" t="s">
        <v>569</v>
      </c>
      <c r="B308" s="1059"/>
      <c r="C308" s="1059"/>
      <c r="D308" s="1060"/>
      <c r="E308" s="1060"/>
      <c r="F308" s="1060"/>
      <c r="G308" s="1060"/>
      <c r="H308" s="1060"/>
      <c r="I308" s="1058" t="str">
        <f>C98</f>
        <v>-</v>
      </c>
      <c r="J308" s="1052" t="str">
        <f>D98</f>
        <v>-</v>
      </c>
      <c r="K308" s="1052" t="str">
        <f>E98</f>
        <v>-</v>
      </c>
      <c r="L308" s="1053">
        <v>10</v>
      </c>
      <c r="N308" s="1054">
        <v>10</v>
      </c>
      <c r="O308" s="1055" t="s">
        <v>375</v>
      </c>
      <c r="P308" s="1061"/>
      <c r="Q308" s="1061"/>
      <c r="R308" s="1061"/>
      <c r="S308" s="1061"/>
      <c r="T308" s="1061"/>
      <c r="U308" s="1061"/>
      <c r="V308" s="1061"/>
      <c r="W308" s="1061"/>
      <c r="X308" s="1061"/>
      <c r="Y308" s="1062"/>
    </row>
    <row r="309" spans="1:25" ht="15" x14ac:dyDescent="0.25">
      <c r="A309" s="1047" t="s">
        <v>383</v>
      </c>
      <c r="B309" s="1059"/>
      <c r="C309" s="1059"/>
      <c r="D309" s="1060"/>
      <c r="E309" s="1060"/>
      <c r="F309" s="1060"/>
      <c r="G309" s="1060"/>
      <c r="H309" s="1060"/>
      <c r="I309" s="1058" t="str">
        <f>J98</f>
        <v>-</v>
      </c>
      <c r="J309" s="1052" t="str">
        <f>K98</f>
        <v>-</v>
      </c>
      <c r="K309" s="1052" t="str">
        <f>L98</f>
        <v>-</v>
      </c>
      <c r="L309" s="1053">
        <v>11</v>
      </c>
      <c r="N309" s="1054">
        <v>11</v>
      </c>
      <c r="O309" s="1055" t="s">
        <v>375</v>
      </c>
      <c r="P309" s="1061"/>
      <c r="Q309" s="1061"/>
      <c r="R309" s="1061"/>
      <c r="S309" s="1061"/>
      <c r="T309" s="1061"/>
      <c r="U309" s="1061"/>
      <c r="V309" s="1061"/>
      <c r="W309" s="1061"/>
      <c r="X309" s="1061"/>
      <c r="Y309" s="1062"/>
    </row>
    <row r="310" spans="1:25" ht="15" x14ac:dyDescent="0.25">
      <c r="A310" s="1047" t="s">
        <v>384</v>
      </c>
      <c r="B310" s="1059"/>
      <c r="C310" s="1059"/>
      <c r="D310" s="1060"/>
      <c r="E310" s="1060"/>
      <c r="F310" s="1060"/>
      <c r="G310" s="1060"/>
      <c r="H310" s="1060"/>
      <c r="I310" s="1058" t="str">
        <f>Q98</f>
        <v>-</v>
      </c>
      <c r="J310" s="1052" t="str">
        <f>R98</f>
        <v>-</v>
      </c>
      <c r="K310" s="1052" t="str">
        <f>S98</f>
        <v>-</v>
      </c>
      <c r="L310" s="1053">
        <v>12</v>
      </c>
      <c r="N310" s="1054">
        <v>12</v>
      </c>
      <c r="O310" s="1055" t="s">
        <v>375</v>
      </c>
      <c r="P310" s="1061"/>
      <c r="Q310" s="1061"/>
      <c r="R310" s="1061"/>
      <c r="S310" s="1061"/>
      <c r="T310" s="1061"/>
      <c r="U310" s="1061"/>
      <c r="V310" s="1061"/>
      <c r="W310" s="1061"/>
      <c r="X310" s="1061"/>
      <c r="Y310" s="1062"/>
    </row>
    <row r="311" spans="1:25" ht="13.5" thickBot="1" x14ac:dyDescent="0.25">
      <c r="A311" s="1368">
        <f>VLOOKUP(A298,A299:L310,12,(FALSE))</f>
        <v>9</v>
      </c>
      <c r="B311" s="1369"/>
      <c r="C311" s="1369"/>
      <c r="D311" s="1369"/>
      <c r="E311" s="1369"/>
      <c r="F311" s="1369"/>
      <c r="G311" s="1369"/>
      <c r="H311" s="1369"/>
      <c r="I311" s="1369"/>
      <c r="J311" s="1369"/>
      <c r="K311" s="1369"/>
      <c r="L311" s="1370"/>
      <c r="N311" s="1063" t="str">
        <f>VLOOKUP(N298,N299:Y310,2,FALSE)</f>
        <v>Hasil pengukuran keselamatan listrik tertelusur ke Satuan Internasional ( SI ) melalui PT. Kaliman (LK-032-IDN)</v>
      </c>
      <c r="O311" s="1064"/>
      <c r="P311" s="1064"/>
      <c r="Q311" s="1065"/>
      <c r="R311" s="1065"/>
      <c r="S311" s="1065"/>
      <c r="T311" s="1065"/>
      <c r="U311" s="1065"/>
      <c r="V311" s="1065"/>
      <c r="W311" s="1065"/>
      <c r="X311" s="1065"/>
      <c r="Y311" s="1066"/>
    </row>
  </sheetData>
  <sheetProtection formatCells="0" formatColumns="0" formatRows="0" insertColumns="0" insertRows="0" insertHyperlinks="0" deleteColumns="0" deleteRows="0" sort="0" autoFilter="0" pivotTables="0"/>
  <mergeCells count="240"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B105:E105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L129:O129"/>
    <mergeCell ref="A131:A142"/>
    <mergeCell ref="J131:J142"/>
    <mergeCell ref="A144:A155"/>
    <mergeCell ref="J144:J155"/>
    <mergeCell ref="A157:A168"/>
    <mergeCell ref="J157:J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K209:K211"/>
    <mergeCell ref="L209:Q209"/>
    <mergeCell ref="C210:F210"/>
    <mergeCell ref="L210:O210"/>
    <mergeCell ref="A170:A181"/>
    <mergeCell ref="J170:J181"/>
    <mergeCell ref="A183:A194"/>
    <mergeCell ref="J183:J194"/>
    <mergeCell ref="A196:A207"/>
    <mergeCell ref="J196:J207"/>
    <mergeCell ref="A212:A223"/>
    <mergeCell ref="J212:J223"/>
    <mergeCell ref="A225:A236"/>
    <mergeCell ref="J225:J236"/>
    <mergeCell ref="A238:A249"/>
    <mergeCell ref="J238:J249"/>
    <mergeCell ref="A209:A211"/>
    <mergeCell ref="B209:B211"/>
    <mergeCell ref="C209:H209"/>
    <mergeCell ref="J209:J211"/>
    <mergeCell ref="O265:O267"/>
    <mergeCell ref="A266:F266"/>
    <mergeCell ref="A267:D267"/>
    <mergeCell ref="E267:E268"/>
    <mergeCell ref="F267:F268"/>
    <mergeCell ref="H268:J268"/>
    <mergeCell ref="A251:A262"/>
    <mergeCell ref="J251:J262"/>
    <mergeCell ref="B265:F265"/>
    <mergeCell ref="H265:J265"/>
    <mergeCell ref="M265:M267"/>
    <mergeCell ref="N265:N267"/>
    <mergeCell ref="H287:K287"/>
    <mergeCell ref="A289:D289"/>
    <mergeCell ref="H291:K291"/>
    <mergeCell ref="N298:Y298"/>
    <mergeCell ref="A311:L311"/>
    <mergeCell ref="H271:K271"/>
    <mergeCell ref="A275:D275"/>
    <mergeCell ref="H275:K275"/>
    <mergeCell ref="H279:K279"/>
    <mergeCell ref="A283:D283"/>
    <mergeCell ref="H283:K283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rgb="FFFF0000"/>
  </sheetPr>
  <dimension ref="A1:BJ558"/>
  <sheetViews>
    <sheetView showGridLines="0" view="pageBreakPreview" topLeftCell="A100" zoomScale="90" zoomScaleNormal="80" zoomScaleSheetLayoutView="90" workbookViewId="0">
      <selection activeCell="I549" sqref="I549"/>
    </sheetView>
  </sheetViews>
  <sheetFormatPr defaultColWidth="8.7109375" defaultRowHeight="12.75" x14ac:dyDescent="0.2"/>
  <cols>
    <col min="1" max="1" width="13" style="555" customWidth="1"/>
    <col min="2" max="2" width="11" style="555" bestFit="1" customWidth="1"/>
    <col min="3" max="3" width="11" style="555" customWidth="1"/>
    <col min="4" max="4" width="10" style="555" customWidth="1"/>
    <col min="5" max="5" width="10.7109375" style="555" customWidth="1"/>
    <col min="6" max="6" width="12.5703125" style="555" bestFit="1" customWidth="1"/>
    <col min="7" max="7" width="21.28515625" style="555" bestFit="1" customWidth="1"/>
    <col min="8" max="8" width="14.5703125" style="555" bestFit="1" customWidth="1"/>
    <col min="9" max="9" width="11" style="555" bestFit="1" customWidth="1"/>
    <col min="10" max="10" width="11.140625" style="555" bestFit="1" customWidth="1"/>
    <col min="11" max="11" width="9" style="555" bestFit="1" customWidth="1"/>
    <col min="12" max="12" width="10.85546875" style="555" customWidth="1"/>
    <col min="13" max="13" width="10.42578125" style="555" bestFit="1" customWidth="1"/>
    <col min="14" max="15" width="8.85546875" style="555" bestFit="1" customWidth="1"/>
    <col min="16" max="16" width="9" style="555" bestFit="1" customWidth="1"/>
    <col min="17" max="17" width="11.140625" style="555" bestFit="1" customWidth="1"/>
    <col min="18" max="20" width="8.85546875" style="555" bestFit="1" customWidth="1"/>
    <col min="21" max="21" width="8.7109375" style="555"/>
    <col min="22" max="23" width="8.85546875" style="555" bestFit="1" customWidth="1"/>
    <col min="24" max="24" width="9" style="555" bestFit="1" customWidth="1"/>
    <col min="25" max="27" width="8.85546875" style="555" bestFit="1" customWidth="1"/>
    <col min="28" max="28" width="21.28515625" style="555" bestFit="1" customWidth="1"/>
    <col min="29" max="29" width="8.85546875" style="555" bestFit="1" customWidth="1"/>
    <col min="30" max="30" width="9" style="555" bestFit="1" customWidth="1"/>
    <col min="31" max="34" width="8.85546875" style="555" bestFit="1" customWidth="1"/>
    <col min="35" max="35" width="8.7109375" style="555"/>
    <col min="36" max="36" width="8.85546875" style="555" bestFit="1" customWidth="1"/>
    <col min="37" max="38" width="10" style="555" bestFit="1" customWidth="1"/>
    <col min="39" max="39" width="8.85546875" style="555" bestFit="1" customWidth="1"/>
    <col min="40" max="41" width="9.42578125" style="555" bestFit="1" customWidth="1"/>
    <col min="42" max="42" width="21.28515625" style="555" bestFit="1" customWidth="1"/>
    <col min="43" max="43" width="8.85546875" style="555" bestFit="1" customWidth="1"/>
    <col min="44" max="44" width="10.140625" style="555" bestFit="1" customWidth="1"/>
    <col min="45" max="45" width="10" style="555" bestFit="1" customWidth="1"/>
    <col min="46" max="46" width="8.85546875" style="555" bestFit="1" customWidth="1"/>
    <col min="47" max="47" width="9.42578125" style="555" bestFit="1" customWidth="1"/>
    <col min="48" max="48" width="10" style="555" customWidth="1"/>
    <col min="49" max="49" width="8.7109375" style="555"/>
    <col min="50" max="50" width="8.85546875" style="555" bestFit="1" customWidth="1"/>
    <col min="51" max="51" width="9" style="555" bestFit="1" customWidth="1"/>
    <col min="52" max="52" width="8.7109375" style="555"/>
    <col min="53" max="54" width="8.85546875" style="555" bestFit="1" customWidth="1"/>
    <col min="55" max="55" width="12.5703125" style="555" customWidth="1"/>
    <col min="56" max="56" width="12.85546875" style="555" customWidth="1"/>
    <col min="57" max="57" width="8.85546875" style="555" bestFit="1" customWidth="1"/>
    <col min="58" max="58" width="9" style="555" bestFit="1" customWidth="1"/>
    <col min="59" max="59" width="8.7109375" style="555"/>
    <col min="60" max="62" width="8.85546875" style="555" bestFit="1" customWidth="1"/>
    <col min="63" max="16384" width="8.7109375" style="555"/>
  </cols>
  <sheetData>
    <row r="1" spans="1:62" x14ac:dyDescent="0.2">
      <c r="A1" s="524"/>
      <c r="B1" s="458"/>
      <c r="C1" s="458"/>
      <c r="D1" s="458"/>
      <c r="E1" s="458"/>
      <c r="F1" s="458"/>
      <c r="G1" s="525"/>
      <c r="H1" s="524"/>
      <c r="I1" s="458"/>
      <c r="J1" s="458"/>
      <c r="K1" s="458"/>
      <c r="L1" s="458"/>
      <c r="M1" s="458"/>
      <c r="N1" s="525"/>
      <c r="O1" s="525"/>
      <c r="P1" s="525"/>
      <c r="Q1" s="526"/>
    </row>
    <row r="2" spans="1:62" ht="15.75" x14ac:dyDescent="0.2">
      <c r="A2" s="1532" t="s">
        <v>385</v>
      </c>
      <c r="B2" s="1532"/>
      <c r="C2" s="1532"/>
      <c r="D2" s="1532"/>
      <c r="E2" s="1532"/>
      <c r="F2" s="1532"/>
      <c r="G2" s="1532"/>
      <c r="H2" s="1532"/>
      <c r="I2" s="1532"/>
      <c r="J2" s="1532"/>
      <c r="K2" s="1532"/>
      <c r="L2" s="1532"/>
      <c r="M2" s="1532"/>
      <c r="O2" s="1571" t="s">
        <v>386</v>
      </c>
      <c r="P2" s="1571"/>
      <c r="Q2" s="1571"/>
      <c r="R2" s="1571"/>
      <c r="S2" s="1571"/>
      <c r="T2" s="1571"/>
      <c r="V2" s="1557" t="s">
        <v>387</v>
      </c>
      <c r="W2" s="1557"/>
      <c r="X2" s="1557"/>
      <c r="Y2" s="1557"/>
      <c r="Z2" s="1557"/>
      <c r="AA2" s="1557"/>
      <c r="AB2" s="1557"/>
      <c r="AC2" s="1557"/>
      <c r="AD2" s="1557"/>
      <c r="AE2" s="1557"/>
      <c r="AF2" s="1557"/>
      <c r="AG2" s="1557"/>
      <c r="AH2" s="1557"/>
      <c r="AJ2" s="1513" t="s">
        <v>388</v>
      </c>
      <c r="AK2" s="1513"/>
      <c r="AL2" s="1513"/>
      <c r="AM2" s="1513"/>
      <c r="AN2" s="1513"/>
      <c r="AO2" s="1513"/>
      <c r="AP2" s="1513"/>
      <c r="AQ2" s="1513"/>
      <c r="AR2" s="1513"/>
      <c r="AS2" s="1513"/>
      <c r="AT2" s="1513"/>
      <c r="AU2" s="1513"/>
      <c r="AV2" s="1513"/>
      <c r="AX2" s="1516" t="s">
        <v>389</v>
      </c>
      <c r="AY2" s="1516"/>
      <c r="AZ2" s="1516"/>
      <c r="BA2" s="1516"/>
      <c r="BB2" s="1516"/>
      <c r="BC2" s="1516"/>
      <c r="BD2" s="1516"/>
      <c r="BE2" s="1516"/>
      <c r="BF2" s="1516"/>
      <c r="BG2" s="1516"/>
      <c r="BH2" s="1516"/>
      <c r="BI2" s="1516"/>
      <c r="BJ2" s="1516"/>
    </row>
    <row r="3" spans="1:62" ht="15.75" customHeight="1" x14ac:dyDescent="0.25">
      <c r="A3" s="1551" t="s">
        <v>390</v>
      </c>
      <c r="B3" s="1551"/>
      <c r="C3" s="1551"/>
      <c r="D3" s="1551"/>
      <c r="E3" s="1525" t="s">
        <v>287</v>
      </c>
      <c r="F3" s="1523" t="s">
        <v>391</v>
      </c>
      <c r="G3" s="1548">
        <v>1</v>
      </c>
      <c r="H3" s="1524" t="s">
        <v>392</v>
      </c>
      <c r="I3" s="1524"/>
      <c r="J3" s="1524"/>
      <c r="K3" s="1524"/>
      <c r="L3" s="1525" t="s">
        <v>287</v>
      </c>
      <c r="M3" s="1523" t="s">
        <v>393</v>
      </c>
      <c r="O3" s="1592" t="s">
        <v>394</v>
      </c>
      <c r="P3" s="1592"/>
      <c r="Q3" s="1592"/>
      <c r="R3" s="1592"/>
      <c r="S3" s="1552" t="s">
        <v>287</v>
      </c>
      <c r="T3" s="1553" t="s">
        <v>393</v>
      </c>
      <c r="V3" s="1555" t="s">
        <v>390</v>
      </c>
      <c r="W3" s="1555"/>
      <c r="X3" s="1555"/>
      <c r="Y3" s="1555"/>
      <c r="Z3" s="1340" t="s">
        <v>287</v>
      </c>
      <c r="AA3" s="1522" t="s">
        <v>393</v>
      </c>
      <c r="AB3" s="1549">
        <v>3</v>
      </c>
      <c r="AC3" s="1341" t="s">
        <v>392</v>
      </c>
      <c r="AD3" s="1341"/>
      <c r="AE3" s="1341"/>
      <c r="AF3" s="1341"/>
      <c r="AG3" s="1340" t="s">
        <v>287</v>
      </c>
      <c r="AH3" s="1522" t="s">
        <v>393</v>
      </c>
      <c r="AJ3" s="1517" t="s">
        <v>390</v>
      </c>
      <c r="AK3" s="1517"/>
      <c r="AL3" s="1517"/>
      <c r="AM3" s="1517"/>
      <c r="AN3" s="1507" t="s">
        <v>287</v>
      </c>
      <c r="AO3" s="1508" t="s">
        <v>393</v>
      </c>
      <c r="AP3" s="1518">
        <v>7</v>
      </c>
      <c r="AQ3" s="1512" t="s">
        <v>392</v>
      </c>
      <c r="AR3" s="1512"/>
      <c r="AS3" s="1512"/>
      <c r="AT3" s="1512"/>
      <c r="AU3" s="1507" t="s">
        <v>287</v>
      </c>
      <c r="AV3" s="1508" t="s">
        <v>393</v>
      </c>
      <c r="AX3" s="1420" t="s">
        <v>390</v>
      </c>
      <c r="AY3" s="1420"/>
      <c r="AZ3" s="1420"/>
      <c r="BA3" s="1420"/>
      <c r="BB3" s="1421" t="s">
        <v>287</v>
      </c>
      <c r="BC3" s="1505" t="s">
        <v>393</v>
      </c>
      <c r="BD3" s="1424">
        <v>9</v>
      </c>
      <c r="BE3" s="1422" t="s">
        <v>392</v>
      </c>
      <c r="BF3" s="1422"/>
      <c r="BG3" s="1422"/>
      <c r="BH3" s="1422"/>
      <c r="BI3" s="1421" t="s">
        <v>287</v>
      </c>
      <c r="BJ3" s="1505" t="s">
        <v>393</v>
      </c>
    </row>
    <row r="4" spans="1:62" ht="12.75" customHeight="1" x14ac:dyDescent="0.2">
      <c r="A4" s="759" t="s">
        <v>164</v>
      </c>
      <c r="B4" s="1525" t="s">
        <v>286</v>
      </c>
      <c r="C4" s="1525"/>
      <c r="D4" s="1525"/>
      <c r="E4" s="1525"/>
      <c r="F4" s="1523"/>
      <c r="G4" s="1548"/>
      <c r="H4" s="759" t="s">
        <v>164</v>
      </c>
      <c r="I4" s="1525" t="s">
        <v>286</v>
      </c>
      <c r="J4" s="1525"/>
      <c r="K4" s="1525"/>
      <c r="L4" s="1525"/>
      <c r="M4" s="1523"/>
      <c r="O4" s="760" t="s">
        <v>164</v>
      </c>
      <c r="P4" s="1552" t="s">
        <v>286</v>
      </c>
      <c r="Q4" s="1552"/>
      <c r="R4" s="1552"/>
      <c r="S4" s="1552"/>
      <c r="T4" s="1553"/>
      <c r="V4" s="761" t="s">
        <v>164</v>
      </c>
      <c r="W4" s="1340" t="s">
        <v>286</v>
      </c>
      <c r="X4" s="1340"/>
      <c r="Y4" s="1340"/>
      <c r="Z4" s="1340"/>
      <c r="AA4" s="1522"/>
      <c r="AB4" s="1549"/>
      <c r="AC4" s="761" t="s">
        <v>164</v>
      </c>
      <c r="AD4" s="1340" t="s">
        <v>286</v>
      </c>
      <c r="AE4" s="1340"/>
      <c r="AF4" s="1340"/>
      <c r="AG4" s="1340"/>
      <c r="AH4" s="1522"/>
      <c r="AJ4" s="762" t="s">
        <v>164</v>
      </c>
      <c r="AK4" s="1507" t="s">
        <v>286</v>
      </c>
      <c r="AL4" s="1507"/>
      <c r="AM4" s="1507"/>
      <c r="AN4" s="1507"/>
      <c r="AO4" s="1508"/>
      <c r="AP4" s="1519"/>
      <c r="AQ4" s="762" t="s">
        <v>164</v>
      </c>
      <c r="AR4" s="1507" t="s">
        <v>286</v>
      </c>
      <c r="AS4" s="1507"/>
      <c r="AT4" s="1507"/>
      <c r="AU4" s="1507"/>
      <c r="AV4" s="1508"/>
      <c r="AX4" s="763" t="s">
        <v>164</v>
      </c>
      <c r="AY4" s="1421" t="s">
        <v>286</v>
      </c>
      <c r="AZ4" s="1421"/>
      <c r="BA4" s="1421"/>
      <c r="BB4" s="1421"/>
      <c r="BC4" s="1505"/>
      <c r="BD4" s="1425"/>
      <c r="BE4" s="763" t="s">
        <v>164</v>
      </c>
      <c r="BF4" s="1421" t="s">
        <v>286</v>
      </c>
      <c r="BG4" s="1421"/>
      <c r="BH4" s="1421"/>
      <c r="BI4" s="1421"/>
      <c r="BJ4" s="1505"/>
    </row>
    <row r="5" spans="1:62" ht="12.75" customHeight="1" x14ac:dyDescent="0.2">
      <c r="A5" s="764" t="s">
        <v>395</v>
      </c>
      <c r="B5" s="765">
        <v>2021</v>
      </c>
      <c r="C5" s="766">
        <v>2019</v>
      </c>
      <c r="D5" s="766" t="s">
        <v>291</v>
      </c>
      <c r="E5" s="1525"/>
      <c r="F5" s="1523"/>
      <c r="G5" s="1548"/>
      <c r="H5" s="764" t="s">
        <v>395</v>
      </c>
      <c r="I5" s="765">
        <f>B5</f>
        <v>2021</v>
      </c>
      <c r="J5" s="765">
        <f>C5</f>
        <v>2019</v>
      </c>
      <c r="K5" s="765" t="str">
        <f>D5</f>
        <v>-</v>
      </c>
      <c r="L5" s="1525"/>
      <c r="M5" s="1523"/>
      <c r="O5" s="767" t="s">
        <v>395</v>
      </c>
      <c r="P5" s="768">
        <v>2022</v>
      </c>
      <c r="Q5" s="768">
        <v>2019</v>
      </c>
      <c r="R5" s="768">
        <v>2018</v>
      </c>
      <c r="S5" s="1552"/>
      <c r="T5" s="1553"/>
      <c r="V5" s="725" t="s">
        <v>395</v>
      </c>
      <c r="W5" s="718">
        <v>2022</v>
      </c>
      <c r="X5" s="718">
        <v>2019</v>
      </c>
      <c r="Y5" s="769">
        <v>2016</v>
      </c>
      <c r="Z5" s="1340"/>
      <c r="AA5" s="1522"/>
      <c r="AB5" s="1549"/>
      <c r="AC5" s="725" t="s">
        <v>395</v>
      </c>
      <c r="AD5" s="718">
        <f>W5</f>
        <v>2022</v>
      </c>
      <c r="AE5" s="718">
        <f>X5</f>
        <v>2019</v>
      </c>
      <c r="AF5" s="718">
        <f>Y5</f>
        <v>2016</v>
      </c>
      <c r="AG5" s="1340"/>
      <c r="AH5" s="1522"/>
      <c r="AJ5" s="770" t="s">
        <v>395</v>
      </c>
      <c r="AK5" s="771">
        <v>2022</v>
      </c>
      <c r="AL5" s="771">
        <v>2021</v>
      </c>
      <c r="AM5" s="772" t="s">
        <v>291</v>
      </c>
      <c r="AN5" s="1507"/>
      <c r="AO5" s="1508"/>
      <c r="AP5" s="1519"/>
      <c r="AQ5" s="770" t="s">
        <v>395</v>
      </c>
      <c r="AR5" s="771">
        <f>AK5</f>
        <v>2022</v>
      </c>
      <c r="AS5" s="771">
        <f>AL5</f>
        <v>2021</v>
      </c>
      <c r="AT5" s="771" t="str">
        <f>AM5</f>
        <v>-</v>
      </c>
      <c r="AU5" s="1507"/>
      <c r="AV5" s="1508"/>
      <c r="AX5" s="773" t="s">
        <v>395</v>
      </c>
      <c r="AY5" s="774">
        <v>2022</v>
      </c>
      <c r="AZ5" s="775" t="s">
        <v>291</v>
      </c>
      <c r="BA5" s="775" t="s">
        <v>291</v>
      </c>
      <c r="BB5" s="1421"/>
      <c r="BC5" s="1505"/>
      <c r="BD5" s="1425"/>
      <c r="BE5" s="773" t="s">
        <v>395</v>
      </c>
      <c r="BF5" s="774">
        <f>AY5</f>
        <v>2022</v>
      </c>
      <c r="BG5" s="774" t="str">
        <f>AZ5</f>
        <v>-</v>
      </c>
      <c r="BH5" s="774" t="str">
        <f>BA5</f>
        <v>-</v>
      </c>
      <c r="BI5" s="1421"/>
      <c r="BJ5" s="1505"/>
    </row>
    <row r="6" spans="1:62" ht="13.5" customHeight="1" x14ac:dyDescent="0.2">
      <c r="A6" s="500">
        <v>9.9999999999999995E-7</v>
      </c>
      <c r="B6" s="656">
        <v>9.9999999999999995E-7</v>
      </c>
      <c r="C6" s="657">
        <v>9.9999999999999995E-7</v>
      </c>
      <c r="D6" s="657" t="s">
        <v>291</v>
      </c>
      <c r="E6" s="656">
        <v>9.9999999999999995E-7</v>
      </c>
      <c r="F6" s="656">
        <v>0.19</v>
      </c>
      <c r="G6" s="1548"/>
      <c r="H6" s="500">
        <v>0</v>
      </c>
      <c r="I6" s="656">
        <v>9.9999999999999995E-7</v>
      </c>
      <c r="J6" s="656">
        <v>9.9999999999999995E-7</v>
      </c>
      <c r="K6" s="657" t="s">
        <v>291</v>
      </c>
      <c r="L6" s="656">
        <v>9.9999999999999995E-7</v>
      </c>
      <c r="M6" s="656">
        <v>0.32</v>
      </c>
      <c r="O6" s="776">
        <v>0</v>
      </c>
      <c r="P6" s="661">
        <v>9.9999999999999995E-7</v>
      </c>
      <c r="Q6" s="661">
        <v>9.9999999999999995E-7</v>
      </c>
      <c r="R6" s="661">
        <v>9.9999999999999995E-7</v>
      </c>
      <c r="S6" s="661">
        <v>9.9999999999999995E-7</v>
      </c>
      <c r="T6" s="661">
        <v>0.71</v>
      </c>
      <c r="V6" s="777">
        <v>9.9999999999999995E-7</v>
      </c>
      <c r="W6" s="665">
        <v>9.9999999999999995E-7</v>
      </c>
      <c r="X6" s="665">
        <v>9.9999999999999995E-7</v>
      </c>
      <c r="Y6" s="664">
        <v>9.9999999999999995E-7</v>
      </c>
      <c r="Z6" s="665">
        <v>9.9999999999999995E-7</v>
      </c>
      <c r="AA6" s="665">
        <v>0.11</v>
      </c>
      <c r="AB6" s="1549"/>
      <c r="AC6" s="777">
        <v>9.9999999999999995E-7</v>
      </c>
      <c r="AD6" s="665">
        <v>9.9999999999999995E-7</v>
      </c>
      <c r="AE6" s="665">
        <v>9.9999999999999995E-7</v>
      </c>
      <c r="AF6" s="665">
        <v>9.9999999999999995E-7</v>
      </c>
      <c r="AG6" s="665">
        <v>9.9999999999999995E-7</v>
      </c>
      <c r="AH6" s="665">
        <v>0.3</v>
      </c>
      <c r="AJ6" s="778">
        <v>9.9999999999999995E-7</v>
      </c>
      <c r="AK6" s="682">
        <v>9.9999999999999995E-7</v>
      </c>
      <c r="AL6" s="682">
        <v>9.9999999999999995E-7</v>
      </c>
      <c r="AM6" s="680" t="s">
        <v>291</v>
      </c>
      <c r="AN6" s="681">
        <f>0.5*(MAX(AK6:AM6)-MIN(AK6:AM6))</f>
        <v>0</v>
      </c>
      <c r="AO6" s="682">
        <v>0.52</v>
      </c>
      <c r="AP6" s="1519"/>
      <c r="AQ6" s="778">
        <v>9.9999999999999995E-7</v>
      </c>
      <c r="AR6" s="682">
        <v>9.9999999999999995E-7</v>
      </c>
      <c r="AS6" s="682">
        <v>9.9999999999999995E-7</v>
      </c>
      <c r="AT6" s="680" t="s">
        <v>291</v>
      </c>
      <c r="AU6" s="681">
        <f>0.5*(MAX(AR6:AT6)-MIN(AR6:AT6))</f>
        <v>0</v>
      </c>
      <c r="AV6" s="682">
        <v>0.62</v>
      </c>
      <c r="AX6" s="779">
        <v>0</v>
      </c>
      <c r="AY6" s="688">
        <v>9.9999999999999995E-7</v>
      </c>
      <c r="AZ6" s="687" t="s">
        <v>291</v>
      </c>
      <c r="BA6" s="687" t="s">
        <v>291</v>
      </c>
      <c r="BB6" s="688">
        <v>9.9999999999999995E-7</v>
      </c>
      <c r="BC6" s="688">
        <v>0.57999999999999996</v>
      </c>
      <c r="BD6" s="1425"/>
      <c r="BE6" s="779">
        <v>0</v>
      </c>
      <c r="BF6" s="688">
        <v>9.9999999999999995E-7</v>
      </c>
      <c r="BG6" s="688" t="s">
        <v>291</v>
      </c>
      <c r="BH6" s="687" t="s">
        <v>291</v>
      </c>
      <c r="BI6" s="688">
        <v>9.9999999999999995E-7</v>
      </c>
      <c r="BJ6" s="688">
        <v>0.37</v>
      </c>
    </row>
    <row r="7" spans="1:62" ht="12.75" customHeight="1" x14ac:dyDescent="0.2">
      <c r="A7" s="500">
        <v>10</v>
      </c>
      <c r="B7" s="656">
        <v>-0.01</v>
      </c>
      <c r="C7" s="656">
        <v>-0.3</v>
      </c>
      <c r="D7" s="657" t="s">
        <v>291</v>
      </c>
      <c r="E7" s="658">
        <f t="shared" ref="E7:E15" si="0">0.5*(MAX(B7:D7)-MIN(B7:D7))</f>
        <v>0.14499999999999999</v>
      </c>
      <c r="F7" s="656">
        <v>0.19</v>
      </c>
      <c r="G7" s="1548"/>
      <c r="H7" s="500">
        <v>10</v>
      </c>
      <c r="I7" s="656">
        <v>-0.15</v>
      </c>
      <c r="J7" s="656">
        <v>-7.0000000000000007E-2</v>
      </c>
      <c r="K7" s="657" t="s">
        <v>291</v>
      </c>
      <c r="L7" s="658">
        <f t="shared" ref="L7:L15" si="1">0.5*(MAX(I7:K7)-MIN(I7:K7))</f>
        <v>3.9999999999999994E-2</v>
      </c>
      <c r="M7" s="656">
        <v>0.32</v>
      </c>
      <c r="O7" s="776">
        <v>10</v>
      </c>
      <c r="P7" s="661">
        <f>10.06-O7</f>
        <v>6.0000000000000497E-2</v>
      </c>
      <c r="Q7" s="661">
        <v>-0.02</v>
      </c>
      <c r="R7" s="661">
        <v>0.44</v>
      </c>
      <c r="S7" s="662">
        <f t="shared" ref="S7:S15" si="2">0.5*(MAX(P7:R7)-MIN(P7:R7))</f>
        <v>0.23</v>
      </c>
      <c r="T7" s="661">
        <v>0.71</v>
      </c>
      <c r="V7" s="777">
        <v>10</v>
      </c>
      <c r="W7" s="665">
        <f>-V7+10.03</f>
        <v>2.9999999999999361E-2</v>
      </c>
      <c r="X7" s="665">
        <v>-0.15</v>
      </c>
      <c r="Y7" s="665">
        <v>9.9999999999999995E-7</v>
      </c>
      <c r="Z7" s="666">
        <f t="shared" ref="Z7:Z15" si="3">0.5*(MAX(W7:Y7)-MIN(W7:Y7))</f>
        <v>8.9999999999999677E-2</v>
      </c>
      <c r="AA7" s="665">
        <v>0.11</v>
      </c>
      <c r="AB7" s="1549"/>
      <c r="AC7" s="777">
        <v>10</v>
      </c>
      <c r="AD7" s="665">
        <f>-AC7+10.1</f>
        <v>9.9999999999999645E-2</v>
      </c>
      <c r="AE7" s="665">
        <v>0.01</v>
      </c>
      <c r="AF7" s="665">
        <v>9.9999999999999995E-7</v>
      </c>
      <c r="AG7" s="666">
        <f t="shared" ref="AG7:AG15" si="4">0.5*(MAX(AD7:AF7)-MIN(AD7:AF7))</f>
        <v>4.9999499999999822E-2</v>
      </c>
      <c r="AH7" s="665">
        <v>0.3</v>
      </c>
      <c r="AJ7" s="778">
        <v>10</v>
      </c>
      <c r="AK7" s="682">
        <f>-AJ7+9.95</f>
        <v>-5.0000000000000711E-2</v>
      </c>
      <c r="AL7" s="682">
        <v>-0.04</v>
      </c>
      <c r="AM7" s="680" t="s">
        <v>291</v>
      </c>
      <c r="AN7" s="681">
        <f t="shared" ref="AN7:AN15" si="5">0.5*(MAX(AK7:AM7)-MIN(AK7:AM7))</f>
        <v>5.0000000000003549E-3</v>
      </c>
      <c r="AO7" s="682">
        <v>0.52</v>
      </c>
      <c r="AP7" s="1519"/>
      <c r="AQ7" s="778">
        <v>10</v>
      </c>
      <c r="AR7" s="682">
        <f>-AQ7+9.86</f>
        <v>-0.14000000000000057</v>
      </c>
      <c r="AS7" s="682">
        <v>0.01</v>
      </c>
      <c r="AT7" s="680" t="s">
        <v>291</v>
      </c>
      <c r="AU7" s="681">
        <f t="shared" ref="AU7:AU15" si="6">0.5*(MAX(AR7:AT7)-MIN(AR7:AT7))</f>
        <v>7.5000000000000289E-2</v>
      </c>
      <c r="AV7" s="682">
        <v>0.62</v>
      </c>
      <c r="AX7" s="779">
        <v>10</v>
      </c>
      <c r="AY7" s="688">
        <v>-0.14000000000000001</v>
      </c>
      <c r="AZ7" s="688" t="s">
        <v>291</v>
      </c>
      <c r="BA7" s="688" t="s">
        <v>291</v>
      </c>
      <c r="BB7" s="689">
        <f t="shared" ref="BB7:BB15" si="7">0.5*(MAX(AY7:BA7)-MIN(AY7:BA7))</f>
        <v>0</v>
      </c>
      <c r="BC7" s="688">
        <v>0.57999999999999996</v>
      </c>
      <c r="BD7" s="1425"/>
      <c r="BE7" s="779">
        <v>10</v>
      </c>
      <c r="BF7" s="688">
        <f>9.93-BE7</f>
        <v>-7.0000000000000284E-2</v>
      </c>
      <c r="BG7" s="688" t="s">
        <v>291</v>
      </c>
      <c r="BH7" s="688" t="s">
        <v>291</v>
      </c>
      <c r="BI7" s="689">
        <f t="shared" ref="BI7:BI15" si="8">0.5*(MAX(BF7:BH7)-MIN(BF7:BH7))</f>
        <v>0</v>
      </c>
      <c r="BJ7" s="688">
        <v>0.37</v>
      </c>
    </row>
    <row r="8" spans="1:62" ht="12.75" customHeight="1" x14ac:dyDescent="0.2">
      <c r="A8" s="500">
        <v>50</v>
      </c>
      <c r="B8" s="656">
        <v>9.9999999999999995E-7</v>
      </c>
      <c r="C8" s="656">
        <v>-0.25</v>
      </c>
      <c r="D8" s="657" t="s">
        <v>291</v>
      </c>
      <c r="E8" s="658">
        <f t="shared" si="0"/>
        <v>0.12500049999999999</v>
      </c>
      <c r="F8" s="656">
        <v>0.19</v>
      </c>
      <c r="G8" s="1548"/>
      <c r="H8" s="500">
        <v>50</v>
      </c>
      <c r="I8" s="656">
        <v>-0.11</v>
      </c>
      <c r="J8" s="656">
        <v>-0.05</v>
      </c>
      <c r="K8" s="657" t="s">
        <v>291</v>
      </c>
      <c r="L8" s="658">
        <f t="shared" si="1"/>
        <v>0.03</v>
      </c>
      <c r="M8" s="656">
        <v>0.32</v>
      </c>
      <c r="O8" s="776">
        <v>50</v>
      </c>
      <c r="P8" s="661">
        <f>49.98-O8</f>
        <v>-2.0000000000003126E-2</v>
      </c>
      <c r="Q8" s="661">
        <v>-0.02</v>
      </c>
      <c r="R8" s="661">
        <v>0.38</v>
      </c>
      <c r="S8" s="662">
        <f t="shared" si="2"/>
        <v>0.20000000000000157</v>
      </c>
      <c r="T8" s="661">
        <v>0.71</v>
      </c>
      <c r="V8" s="777">
        <v>50</v>
      </c>
      <c r="W8" s="665">
        <f>-V8+50.03</f>
        <v>3.0000000000001137E-2</v>
      </c>
      <c r="X8" s="665">
        <v>-0.15</v>
      </c>
      <c r="Y8" s="665">
        <v>7.0000000000000007E-2</v>
      </c>
      <c r="Z8" s="666">
        <f t="shared" si="3"/>
        <v>0.11</v>
      </c>
      <c r="AA8" s="665">
        <v>0.11</v>
      </c>
      <c r="AB8" s="1549"/>
      <c r="AC8" s="777">
        <v>50</v>
      </c>
      <c r="AD8" s="665">
        <f>-AC8+50.09</f>
        <v>9.0000000000003411E-2</v>
      </c>
      <c r="AE8" s="665">
        <v>0.01</v>
      </c>
      <c r="AF8" s="665">
        <v>7.0000000000000007E-2</v>
      </c>
      <c r="AG8" s="666">
        <f t="shared" si="4"/>
        <v>4.0000000000001708E-2</v>
      </c>
      <c r="AH8" s="665">
        <v>0.3</v>
      </c>
      <c r="AJ8" s="778">
        <v>50</v>
      </c>
      <c r="AK8" s="682">
        <f>-AJ8+49.85</f>
        <v>-0.14999999999999858</v>
      </c>
      <c r="AL8" s="682">
        <v>-0.02</v>
      </c>
      <c r="AM8" s="680" t="s">
        <v>291</v>
      </c>
      <c r="AN8" s="681">
        <f t="shared" si="5"/>
        <v>6.4999999999999294E-2</v>
      </c>
      <c r="AO8" s="682">
        <v>0.52</v>
      </c>
      <c r="AP8" s="1519"/>
      <c r="AQ8" s="778">
        <v>50</v>
      </c>
      <c r="AR8" s="682">
        <f>-AQ8+49.82</f>
        <v>-0.17999999999999972</v>
      </c>
      <c r="AS8" s="682">
        <v>0.02</v>
      </c>
      <c r="AT8" s="680" t="s">
        <v>291</v>
      </c>
      <c r="AU8" s="681">
        <f t="shared" si="6"/>
        <v>9.9999999999999853E-2</v>
      </c>
      <c r="AV8" s="682">
        <v>0.62</v>
      </c>
      <c r="AX8" s="779">
        <v>50</v>
      </c>
      <c r="AY8" s="688">
        <v>-0.12</v>
      </c>
      <c r="AZ8" s="688" t="s">
        <v>291</v>
      </c>
      <c r="BA8" s="688" t="s">
        <v>291</v>
      </c>
      <c r="BB8" s="689">
        <f t="shared" si="7"/>
        <v>0</v>
      </c>
      <c r="BC8" s="688">
        <v>0.57999999999999996</v>
      </c>
      <c r="BD8" s="1425"/>
      <c r="BE8" s="779">
        <v>50</v>
      </c>
      <c r="BF8" s="688">
        <f>49.86-BE8</f>
        <v>-0.14000000000000057</v>
      </c>
      <c r="BG8" s="688" t="s">
        <v>291</v>
      </c>
      <c r="BH8" s="688" t="s">
        <v>291</v>
      </c>
      <c r="BI8" s="689">
        <f t="shared" si="8"/>
        <v>0</v>
      </c>
      <c r="BJ8" s="688">
        <v>0.37</v>
      </c>
    </row>
    <row r="9" spans="1:62" ht="12.75" customHeight="1" x14ac:dyDescent="0.2">
      <c r="A9" s="500">
        <v>100</v>
      </c>
      <c r="B9" s="656">
        <v>0.01</v>
      </c>
      <c r="C9" s="656">
        <v>-0.19</v>
      </c>
      <c r="D9" s="657" t="s">
        <v>291</v>
      </c>
      <c r="E9" s="658">
        <f t="shared" si="0"/>
        <v>0.1</v>
      </c>
      <c r="F9" s="656">
        <v>0.19</v>
      </c>
      <c r="G9" s="1548"/>
      <c r="H9" s="500">
        <v>100</v>
      </c>
      <c r="I9" s="656">
        <v>-0.05</v>
      </c>
      <c r="J9" s="656">
        <v>-0.03</v>
      </c>
      <c r="K9" s="657" t="s">
        <v>291</v>
      </c>
      <c r="L9" s="658">
        <f t="shared" si="1"/>
        <v>1.0000000000000002E-2</v>
      </c>
      <c r="M9" s="656">
        <v>0.32</v>
      </c>
      <c r="O9" s="776">
        <v>100</v>
      </c>
      <c r="P9" s="661">
        <f>99.88-O9</f>
        <v>-0.12000000000000455</v>
      </c>
      <c r="Q9" s="661">
        <v>-0.01</v>
      </c>
      <c r="R9" s="661">
        <v>0.31</v>
      </c>
      <c r="S9" s="662">
        <f t="shared" si="2"/>
        <v>0.21500000000000227</v>
      </c>
      <c r="T9" s="661">
        <v>0.71</v>
      </c>
      <c r="V9" s="777">
        <v>100</v>
      </c>
      <c r="W9" s="665">
        <f>-V9+100.03</f>
        <v>3.0000000000001137E-2</v>
      </c>
      <c r="X9" s="665">
        <v>-0.15</v>
      </c>
      <c r="Y9" s="664">
        <v>9.9999999999999995E-7</v>
      </c>
      <c r="Z9" s="666">
        <f t="shared" si="3"/>
        <v>9.0000000000000566E-2</v>
      </c>
      <c r="AA9" s="665">
        <v>0.11</v>
      </c>
      <c r="AB9" s="1549"/>
      <c r="AC9" s="777">
        <v>100</v>
      </c>
      <c r="AD9" s="665">
        <f>-AC9+100.08</f>
        <v>7.9999999999998295E-2</v>
      </c>
      <c r="AE9" s="665">
        <v>0.01</v>
      </c>
      <c r="AF9" s="664">
        <v>9.9999999999999995E-7</v>
      </c>
      <c r="AG9" s="666">
        <f t="shared" si="4"/>
        <v>3.9999499999999147E-2</v>
      </c>
      <c r="AH9" s="665">
        <v>0.3</v>
      </c>
      <c r="AJ9" s="778">
        <v>100</v>
      </c>
      <c r="AK9" s="682">
        <f>-AJ9+99.72</f>
        <v>-0.28000000000000114</v>
      </c>
      <c r="AL9" s="682">
        <v>-0.01</v>
      </c>
      <c r="AM9" s="680" t="s">
        <v>291</v>
      </c>
      <c r="AN9" s="681">
        <f t="shared" si="5"/>
        <v>0.13500000000000056</v>
      </c>
      <c r="AO9" s="682">
        <v>0.52</v>
      </c>
      <c r="AP9" s="1519"/>
      <c r="AQ9" s="778">
        <v>100</v>
      </c>
      <c r="AR9" s="682">
        <f>-AQ9+99.78</f>
        <v>-0.21999999999999886</v>
      </c>
      <c r="AS9" s="682">
        <v>0.03</v>
      </c>
      <c r="AT9" s="680" t="s">
        <v>291</v>
      </c>
      <c r="AU9" s="681">
        <f t="shared" si="6"/>
        <v>0.12499999999999943</v>
      </c>
      <c r="AV9" s="682">
        <v>0.62</v>
      </c>
      <c r="AX9" s="779">
        <v>100</v>
      </c>
      <c r="AY9" s="688">
        <v>-0.1</v>
      </c>
      <c r="AZ9" s="687" t="s">
        <v>291</v>
      </c>
      <c r="BA9" s="687" t="s">
        <v>291</v>
      </c>
      <c r="BB9" s="689">
        <f t="shared" si="7"/>
        <v>0</v>
      </c>
      <c r="BC9" s="688">
        <v>0.57999999999999996</v>
      </c>
      <c r="BD9" s="1425"/>
      <c r="BE9" s="779">
        <v>100</v>
      </c>
      <c r="BF9" s="688">
        <f>99.78-BE9</f>
        <v>-0.21999999999999886</v>
      </c>
      <c r="BG9" s="687" t="s">
        <v>291</v>
      </c>
      <c r="BH9" s="687" t="s">
        <v>291</v>
      </c>
      <c r="BI9" s="689">
        <f t="shared" si="8"/>
        <v>0</v>
      </c>
      <c r="BJ9" s="688">
        <v>0.37</v>
      </c>
    </row>
    <row r="10" spans="1:62" ht="12.75" customHeight="1" x14ac:dyDescent="0.2">
      <c r="A10" s="500">
        <v>150</v>
      </c>
      <c r="B10" s="656">
        <v>0.02</v>
      </c>
      <c r="C10" s="656">
        <v>-0.13</v>
      </c>
      <c r="D10" s="657" t="s">
        <v>291</v>
      </c>
      <c r="E10" s="658">
        <f t="shared" si="0"/>
        <v>7.4999999999999997E-2</v>
      </c>
      <c r="F10" s="656">
        <v>0.19</v>
      </c>
      <c r="G10" s="1548"/>
      <c r="H10" s="500">
        <v>150</v>
      </c>
      <c r="I10" s="656">
        <v>9.9999999999999995E-7</v>
      </c>
      <c r="J10" s="656">
        <v>9.9999999999999995E-7</v>
      </c>
      <c r="K10" s="657" t="s">
        <v>291</v>
      </c>
      <c r="L10" s="658">
        <f t="shared" si="1"/>
        <v>0</v>
      </c>
      <c r="M10" s="656">
        <v>0.32</v>
      </c>
      <c r="O10" s="501">
        <v>150</v>
      </c>
      <c r="P10" s="661">
        <f>149.78-O10</f>
        <v>-0.21999999999999886</v>
      </c>
      <c r="Q10" s="663">
        <v>9.9999999999999995E-7</v>
      </c>
      <c r="R10" s="663">
        <v>0.24</v>
      </c>
      <c r="S10" s="662">
        <f t="shared" si="2"/>
        <v>0.22999999999999943</v>
      </c>
      <c r="T10" s="661">
        <v>0.71</v>
      </c>
      <c r="V10" s="777">
        <v>150</v>
      </c>
      <c r="W10" s="665">
        <f>-V10+150.02</f>
        <v>2.0000000000010232E-2</v>
      </c>
      <c r="X10" s="665">
        <v>-0.14000000000000001</v>
      </c>
      <c r="Y10" s="664">
        <v>0.31</v>
      </c>
      <c r="Z10" s="666">
        <f t="shared" si="3"/>
        <v>0.22500000000000001</v>
      </c>
      <c r="AA10" s="665">
        <v>0.11</v>
      </c>
      <c r="AB10" s="1549"/>
      <c r="AC10" s="777">
        <v>150</v>
      </c>
      <c r="AD10" s="665">
        <f>-AC10+150.07</f>
        <v>6.9999999999993179E-2</v>
      </c>
      <c r="AE10" s="665">
        <v>0.01</v>
      </c>
      <c r="AF10" s="664">
        <v>0.41</v>
      </c>
      <c r="AG10" s="666">
        <f t="shared" si="4"/>
        <v>0.19999999999999998</v>
      </c>
      <c r="AH10" s="665">
        <v>0.3</v>
      </c>
      <c r="AJ10" s="778">
        <v>150</v>
      </c>
      <c r="AK10" s="682">
        <f>-AJ10+149.6</f>
        <v>-0.40000000000000568</v>
      </c>
      <c r="AL10" s="682">
        <v>0.01</v>
      </c>
      <c r="AM10" s="680" t="s">
        <v>291</v>
      </c>
      <c r="AN10" s="681">
        <f t="shared" si="5"/>
        <v>0.20500000000000285</v>
      </c>
      <c r="AO10" s="682">
        <v>0.52</v>
      </c>
      <c r="AP10" s="1519"/>
      <c r="AQ10" s="778">
        <v>150</v>
      </c>
      <c r="AR10" s="682">
        <f>-AQ10+149.73</f>
        <v>-0.27000000000001023</v>
      </c>
      <c r="AS10" s="682">
        <v>0.05</v>
      </c>
      <c r="AT10" s="680" t="s">
        <v>291</v>
      </c>
      <c r="AU10" s="681">
        <f t="shared" si="6"/>
        <v>0.16000000000000511</v>
      </c>
      <c r="AV10" s="682">
        <v>0.62</v>
      </c>
      <c r="AX10" s="779">
        <v>150</v>
      </c>
      <c r="AY10" s="688">
        <v>-7.0000000000000007E-2</v>
      </c>
      <c r="AZ10" s="687" t="s">
        <v>291</v>
      </c>
      <c r="BA10" s="687" t="s">
        <v>291</v>
      </c>
      <c r="BB10" s="689">
        <f t="shared" si="7"/>
        <v>0</v>
      </c>
      <c r="BC10" s="688">
        <v>0.57999999999999996</v>
      </c>
      <c r="BD10" s="1425"/>
      <c r="BE10" s="779">
        <v>150</v>
      </c>
      <c r="BF10" s="688">
        <f>149.7-BE10</f>
        <v>-0.30000000000001137</v>
      </c>
      <c r="BG10" s="687" t="s">
        <v>291</v>
      </c>
      <c r="BH10" s="687" t="s">
        <v>291</v>
      </c>
      <c r="BI10" s="689">
        <f t="shared" si="8"/>
        <v>0</v>
      </c>
      <c r="BJ10" s="688">
        <v>0.37</v>
      </c>
    </row>
    <row r="11" spans="1:62" ht="12.75" customHeight="1" x14ac:dyDescent="0.2">
      <c r="A11" s="500">
        <v>200</v>
      </c>
      <c r="B11" s="656">
        <v>0.04</v>
      </c>
      <c r="C11" s="656">
        <v>-7.0000000000000007E-2</v>
      </c>
      <c r="D11" s="657" t="s">
        <v>291</v>
      </c>
      <c r="E11" s="658">
        <f t="shared" si="0"/>
        <v>5.5000000000000007E-2</v>
      </c>
      <c r="F11" s="656">
        <v>0.19</v>
      </c>
      <c r="G11" s="1548"/>
      <c r="H11" s="500">
        <v>200</v>
      </c>
      <c r="I11" s="656">
        <v>0.05</v>
      </c>
      <c r="J11" s="656">
        <v>0.03</v>
      </c>
      <c r="K11" s="657" t="s">
        <v>291</v>
      </c>
      <c r="L11" s="658">
        <f t="shared" si="1"/>
        <v>1.0000000000000002E-2</v>
      </c>
      <c r="M11" s="656">
        <v>0.32</v>
      </c>
      <c r="O11" s="501">
        <v>200</v>
      </c>
      <c r="P11" s="661">
        <f>199.68-O11</f>
        <v>-0.31999999999999318</v>
      </c>
      <c r="Q11" s="663">
        <v>9.9999999999999995E-7</v>
      </c>
      <c r="R11" s="663">
        <v>0.17</v>
      </c>
      <c r="S11" s="662">
        <f t="shared" si="2"/>
        <v>0.24499999999999661</v>
      </c>
      <c r="T11" s="661">
        <v>0.71</v>
      </c>
      <c r="V11" s="777">
        <v>200</v>
      </c>
      <c r="W11" s="665">
        <f>-V11+200.02</f>
        <v>2.0000000000010232E-2</v>
      </c>
      <c r="X11" s="665">
        <v>-0.14000000000000001</v>
      </c>
      <c r="Y11" s="664">
        <v>0.34</v>
      </c>
      <c r="Z11" s="666">
        <f t="shared" si="3"/>
        <v>0.24000000000000002</v>
      </c>
      <c r="AA11" s="665">
        <v>0.11</v>
      </c>
      <c r="AB11" s="1549"/>
      <c r="AC11" s="777">
        <v>200</v>
      </c>
      <c r="AD11" s="665">
        <f>-AC11+200.06</f>
        <v>6.0000000000002274E-2</v>
      </c>
      <c r="AE11" s="665">
        <v>0.01</v>
      </c>
      <c r="AF11" s="664">
        <v>0.3</v>
      </c>
      <c r="AG11" s="666">
        <f t="shared" si="4"/>
        <v>0.14499999999999999</v>
      </c>
      <c r="AH11" s="665">
        <v>0.3</v>
      </c>
      <c r="AJ11" s="778">
        <v>200</v>
      </c>
      <c r="AK11" s="682">
        <f>-AJ11+199.47</f>
        <v>-0.53000000000000114</v>
      </c>
      <c r="AL11" s="682">
        <v>0.03</v>
      </c>
      <c r="AM11" s="680" t="s">
        <v>291</v>
      </c>
      <c r="AN11" s="681">
        <f t="shared" si="5"/>
        <v>0.28000000000000058</v>
      </c>
      <c r="AO11" s="682">
        <v>0.52</v>
      </c>
      <c r="AP11" s="1519"/>
      <c r="AQ11" s="778">
        <v>200</v>
      </c>
      <c r="AR11" s="682">
        <f>-AQ11+199.68</f>
        <v>-0.31999999999999318</v>
      </c>
      <c r="AS11" s="682">
        <v>0.06</v>
      </c>
      <c r="AT11" s="680" t="s">
        <v>291</v>
      </c>
      <c r="AU11" s="681">
        <f t="shared" si="6"/>
        <v>0.18999999999999659</v>
      </c>
      <c r="AV11" s="682">
        <v>0.62</v>
      </c>
      <c r="AX11" s="779">
        <v>200</v>
      </c>
      <c r="AY11" s="688">
        <v>-0.05</v>
      </c>
      <c r="AZ11" s="687" t="s">
        <v>291</v>
      </c>
      <c r="BA11" s="687" t="s">
        <v>291</v>
      </c>
      <c r="BB11" s="689">
        <f t="shared" si="7"/>
        <v>0</v>
      </c>
      <c r="BC11" s="688">
        <v>0.57999999999999996</v>
      </c>
      <c r="BD11" s="1425"/>
      <c r="BE11" s="779">
        <v>200</v>
      </c>
      <c r="BF11" s="688">
        <f>199.62-BE11</f>
        <v>-0.37999999999999545</v>
      </c>
      <c r="BG11" s="687" t="s">
        <v>291</v>
      </c>
      <c r="BH11" s="687" t="s">
        <v>291</v>
      </c>
      <c r="BI11" s="689">
        <f t="shared" si="8"/>
        <v>0</v>
      </c>
      <c r="BJ11" s="688">
        <v>0.37</v>
      </c>
    </row>
    <row r="12" spans="1:62" ht="12.75" customHeight="1" x14ac:dyDescent="0.2">
      <c r="A12" s="500">
        <v>250</v>
      </c>
      <c r="B12" s="656">
        <v>0.05</v>
      </c>
      <c r="C12" s="656">
        <v>-0.01</v>
      </c>
      <c r="D12" s="657" t="s">
        <v>291</v>
      </c>
      <c r="E12" s="658">
        <f t="shared" si="0"/>
        <v>3.0000000000000002E-2</v>
      </c>
      <c r="F12" s="656">
        <v>0.19</v>
      </c>
      <c r="G12" s="1548"/>
      <c r="H12" s="500">
        <v>250</v>
      </c>
      <c r="I12" s="656">
        <v>0.11</v>
      </c>
      <c r="J12" s="656">
        <v>0.06</v>
      </c>
      <c r="K12" s="657" t="s">
        <v>291</v>
      </c>
      <c r="L12" s="658">
        <f t="shared" si="1"/>
        <v>2.5000000000000001E-2</v>
      </c>
      <c r="M12" s="656">
        <v>0.32</v>
      </c>
      <c r="O12" s="501">
        <v>250</v>
      </c>
      <c r="P12" s="661">
        <f>249.58-O12</f>
        <v>-0.41999999999998749</v>
      </c>
      <c r="Q12" s="663">
        <v>0.01</v>
      </c>
      <c r="R12" s="663">
        <v>0.09</v>
      </c>
      <c r="S12" s="662">
        <f t="shared" si="2"/>
        <v>0.25499999999999373</v>
      </c>
      <c r="T12" s="661">
        <v>0.71</v>
      </c>
      <c r="V12" s="777">
        <v>250</v>
      </c>
      <c r="W12" s="665">
        <f>-V12+250.02</f>
        <v>2.0000000000010232E-2</v>
      </c>
      <c r="X12" s="665">
        <v>-0.12</v>
      </c>
      <c r="Y12" s="664">
        <v>0.52</v>
      </c>
      <c r="Z12" s="666">
        <f t="shared" si="3"/>
        <v>0.32</v>
      </c>
      <c r="AA12" s="665">
        <v>0.11</v>
      </c>
      <c r="AB12" s="1549"/>
      <c r="AC12" s="777">
        <v>250</v>
      </c>
      <c r="AD12" s="665">
        <f>-AC12+250.05</f>
        <v>5.0000000000011369E-2</v>
      </c>
      <c r="AE12" s="665">
        <v>0.02</v>
      </c>
      <c r="AF12" s="664">
        <v>0.52</v>
      </c>
      <c r="AG12" s="666">
        <f t="shared" si="4"/>
        <v>0.25</v>
      </c>
      <c r="AH12" s="665">
        <v>0.3</v>
      </c>
      <c r="AJ12" s="778">
        <v>250</v>
      </c>
      <c r="AK12" s="682">
        <f>-AJ12+249.34</f>
        <v>-0.65999999999999659</v>
      </c>
      <c r="AL12" s="682">
        <v>0.05</v>
      </c>
      <c r="AM12" s="680" t="s">
        <v>291</v>
      </c>
      <c r="AN12" s="681">
        <f t="shared" si="5"/>
        <v>0.35499999999999832</v>
      </c>
      <c r="AO12" s="682">
        <v>0.52</v>
      </c>
      <c r="AP12" s="1519"/>
      <c r="AQ12" s="778">
        <v>250</v>
      </c>
      <c r="AR12" s="682">
        <f>-AQ12+249.63</f>
        <v>-0.37000000000000455</v>
      </c>
      <c r="AS12" s="682">
        <v>7.0000000000000007E-2</v>
      </c>
      <c r="AT12" s="680" t="s">
        <v>291</v>
      </c>
      <c r="AU12" s="681">
        <f t="shared" si="6"/>
        <v>0.22000000000000228</v>
      </c>
      <c r="AV12" s="682">
        <v>0.62</v>
      </c>
      <c r="AX12" s="779">
        <v>250</v>
      </c>
      <c r="AY12" s="688">
        <f>249.98-AX12</f>
        <v>-2.0000000000010232E-2</v>
      </c>
      <c r="AZ12" s="687" t="s">
        <v>291</v>
      </c>
      <c r="BA12" s="687" t="s">
        <v>291</v>
      </c>
      <c r="BB12" s="689">
        <f t="shared" si="7"/>
        <v>0</v>
      </c>
      <c r="BC12" s="688">
        <v>0.57999999999999996</v>
      </c>
      <c r="BD12" s="1425"/>
      <c r="BE12" s="779">
        <v>250</v>
      </c>
      <c r="BF12" s="688">
        <f>249.54-BE12</f>
        <v>-0.46000000000000796</v>
      </c>
      <c r="BG12" s="687" t="s">
        <v>291</v>
      </c>
      <c r="BH12" s="687" t="s">
        <v>291</v>
      </c>
      <c r="BI12" s="689">
        <f t="shared" si="8"/>
        <v>0</v>
      </c>
      <c r="BJ12" s="688">
        <v>0.37</v>
      </c>
    </row>
    <row r="13" spans="1:62" ht="12.75" customHeight="1" x14ac:dyDescent="0.2">
      <c r="A13" s="500">
        <v>300</v>
      </c>
      <c r="B13" s="656">
        <v>0.06</v>
      </c>
      <c r="C13" s="656">
        <v>0.05</v>
      </c>
      <c r="D13" s="657" t="s">
        <v>291</v>
      </c>
      <c r="E13" s="658">
        <f t="shared" si="0"/>
        <v>4.9999999999999975E-3</v>
      </c>
      <c r="F13" s="656">
        <v>0.19</v>
      </c>
      <c r="G13" s="1548"/>
      <c r="H13" s="500">
        <v>300</v>
      </c>
      <c r="I13" s="656">
        <v>0.16</v>
      </c>
      <c r="J13" s="656">
        <v>0.08</v>
      </c>
      <c r="K13" s="657" t="s">
        <v>291</v>
      </c>
      <c r="L13" s="658">
        <f t="shared" si="1"/>
        <v>0.04</v>
      </c>
      <c r="M13" s="656">
        <v>0.32</v>
      </c>
      <c r="O13" s="776">
        <v>300</v>
      </c>
      <c r="P13" s="661">
        <f>299.48-O13</f>
        <v>-0.51999999999998181</v>
      </c>
      <c r="Q13" s="661">
        <v>0.02</v>
      </c>
      <c r="R13" s="661">
        <v>0.02</v>
      </c>
      <c r="S13" s="662">
        <f t="shared" si="2"/>
        <v>0.26999999999999091</v>
      </c>
      <c r="T13" s="661">
        <v>0.71</v>
      </c>
      <c r="V13" s="777">
        <v>300</v>
      </c>
      <c r="W13" s="665">
        <f>-V13+300.02</f>
        <v>1.999999999998181E-2</v>
      </c>
      <c r="X13" s="665">
        <v>-0.1</v>
      </c>
      <c r="Y13" s="664">
        <v>0.61</v>
      </c>
      <c r="Z13" s="666">
        <f t="shared" si="3"/>
        <v>0.35499999999999998</v>
      </c>
      <c r="AA13" s="665">
        <v>0.11</v>
      </c>
      <c r="AB13" s="1549"/>
      <c r="AC13" s="777">
        <v>300</v>
      </c>
      <c r="AD13" s="665">
        <f>-AC13+300.03</f>
        <v>2.9999999999972715E-2</v>
      </c>
      <c r="AE13" s="665">
        <v>0.02</v>
      </c>
      <c r="AF13" s="664">
        <v>0.61</v>
      </c>
      <c r="AG13" s="666">
        <f t="shared" si="4"/>
        <v>0.29499999999999998</v>
      </c>
      <c r="AH13" s="665">
        <v>0.3</v>
      </c>
      <c r="AJ13" s="778">
        <v>300</v>
      </c>
      <c r="AK13" s="682">
        <f>-AJ13+299.22</f>
        <v>-0.77999999999997272</v>
      </c>
      <c r="AL13" s="682">
        <v>7.0000000000000007E-2</v>
      </c>
      <c r="AM13" s="680" t="s">
        <v>291</v>
      </c>
      <c r="AN13" s="681">
        <f t="shared" si="5"/>
        <v>0.42499999999998639</v>
      </c>
      <c r="AO13" s="682">
        <v>0.52</v>
      </c>
      <c r="AP13" s="1519"/>
      <c r="AQ13" s="778">
        <v>300</v>
      </c>
      <c r="AR13" s="682">
        <f>-AQ13+299.58</f>
        <v>-0.42000000000001592</v>
      </c>
      <c r="AS13" s="682">
        <v>0.08</v>
      </c>
      <c r="AT13" s="680" t="s">
        <v>291</v>
      </c>
      <c r="AU13" s="681">
        <f t="shared" si="6"/>
        <v>0.25000000000000794</v>
      </c>
      <c r="AV13" s="682">
        <v>0.62</v>
      </c>
      <c r="AX13" s="779">
        <v>300</v>
      </c>
      <c r="AY13" s="688">
        <f>300-AX13</f>
        <v>0</v>
      </c>
      <c r="AZ13" s="687" t="s">
        <v>291</v>
      </c>
      <c r="BA13" s="687" t="s">
        <v>291</v>
      </c>
      <c r="BB13" s="689">
        <f t="shared" si="7"/>
        <v>0</v>
      </c>
      <c r="BC13" s="688">
        <v>0.57999999999999996</v>
      </c>
      <c r="BD13" s="1425"/>
      <c r="BE13" s="779">
        <v>300</v>
      </c>
      <c r="BF13" s="688">
        <f>299.46-BE13</f>
        <v>-0.54000000000002046</v>
      </c>
      <c r="BG13" s="687" t="s">
        <v>291</v>
      </c>
      <c r="BH13" s="687" t="s">
        <v>291</v>
      </c>
      <c r="BI13" s="689">
        <f t="shared" si="8"/>
        <v>0</v>
      </c>
      <c r="BJ13" s="688">
        <v>0.37</v>
      </c>
    </row>
    <row r="14" spans="1:62" ht="12.75" customHeight="1" x14ac:dyDescent="0.2">
      <c r="A14" s="500">
        <v>500</v>
      </c>
      <c r="B14" s="656">
        <v>0.11</v>
      </c>
      <c r="C14" s="656">
        <v>0.28999999999999998</v>
      </c>
      <c r="D14" s="657" t="s">
        <v>291</v>
      </c>
      <c r="E14" s="658">
        <f t="shared" si="0"/>
        <v>0.09</v>
      </c>
      <c r="F14" s="656">
        <v>0.19</v>
      </c>
      <c r="G14" s="1548"/>
      <c r="H14" s="500">
        <v>500</v>
      </c>
      <c r="I14" s="656">
        <v>0.38</v>
      </c>
      <c r="J14" s="656">
        <v>0.19</v>
      </c>
      <c r="K14" s="657" t="s">
        <v>291</v>
      </c>
      <c r="L14" s="658">
        <f t="shared" si="1"/>
        <v>9.5000000000000001E-2</v>
      </c>
      <c r="M14" s="656">
        <v>0.32</v>
      </c>
      <c r="O14" s="776">
        <v>500</v>
      </c>
      <c r="P14" s="661">
        <f>499.08-O14</f>
        <v>-0.92000000000001592</v>
      </c>
      <c r="Q14" s="661">
        <v>0.04</v>
      </c>
      <c r="R14" s="661">
        <v>9.9999999999999995E-7</v>
      </c>
      <c r="S14" s="662">
        <f t="shared" si="2"/>
        <v>0.48000000000000798</v>
      </c>
      <c r="T14" s="661">
        <v>0.71</v>
      </c>
      <c r="V14" s="777">
        <v>500</v>
      </c>
      <c r="W14" s="665">
        <f>-V14+500.01</f>
        <v>9.9999999999909051E-3</v>
      </c>
      <c r="X14" s="665">
        <v>-0.1</v>
      </c>
      <c r="Y14" s="664">
        <v>9.9999999999999995E-7</v>
      </c>
      <c r="Z14" s="666">
        <f t="shared" si="3"/>
        <v>5.4999999999995455E-2</v>
      </c>
      <c r="AA14" s="665">
        <v>0.11</v>
      </c>
      <c r="AB14" s="1549"/>
      <c r="AC14" s="777">
        <v>500</v>
      </c>
      <c r="AD14" s="665">
        <f>-AC14+499.99</f>
        <v>-9.9999999999909051E-3</v>
      </c>
      <c r="AE14" s="665">
        <v>0.02</v>
      </c>
      <c r="AF14" s="664">
        <v>9.9999999999999995E-7</v>
      </c>
      <c r="AG14" s="666">
        <f t="shared" si="4"/>
        <v>1.4999999999995453E-2</v>
      </c>
      <c r="AH14" s="665">
        <v>0.3</v>
      </c>
      <c r="AJ14" s="778">
        <v>500</v>
      </c>
      <c r="AK14" s="682">
        <f>-AJ14+498.71</f>
        <v>-1.2900000000000205</v>
      </c>
      <c r="AL14" s="682">
        <v>0.14000000000000001</v>
      </c>
      <c r="AM14" s="680" t="s">
        <v>291</v>
      </c>
      <c r="AN14" s="681">
        <f t="shared" si="5"/>
        <v>0.71500000000001029</v>
      </c>
      <c r="AO14" s="682">
        <v>0.52</v>
      </c>
      <c r="AP14" s="1519"/>
      <c r="AQ14" s="778">
        <v>500</v>
      </c>
      <c r="AR14" s="682">
        <f>-AQ14+499.39</f>
        <v>-0.61000000000001364</v>
      </c>
      <c r="AS14" s="682">
        <v>0.13</v>
      </c>
      <c r="AT14" s="680" t="s">
        <v>291</v>
      </c>
      <c r="AU14" s="681">
        <f t="shared" si="6"/>
        <v>0.37000000000000682</v>
      </c>
      <c r="AV14" s="682">
        <v>0.62</v>
      </c>
      <c r="AX14" s="779">
        <v>500</v>
      </c>
      <c r="AY14" s="688">
        <f>500.1-AX14</f>
        <v>0.10000000000002274</v>
      </c>
      <c r="AZ14" s="687" t="s">
        <v>291</v>
      </c>
      <c r="BA14" s="687" t="s">
        <v>291</v>
      </c>
      <c r="BB14" s="689">
        <f t="shared" si="7"/>
        <v>0</v>
      </c>
      <c r="BC14" s="688">
        <v>0.57999999999999996</v>
      </c>
      <c r="BD14" s="1425"/>
      <c r="BE14" s="779">
        <v>500</v>
      </c>
      <c r="BF14" s="688">
        <f>499.14-BE14</f>
        <v>-0.86000000000001364</v>
      </c>
      <c r="BG14" s="687" t="s">
        <v>291</v>
      </c>
      <c r="BH14" s="687" t="s">
        <v>291</v>
      </c>
      <c r="BI14" s="689">
        <f t="shared" si="8"/>
        <v>0</v>
      </c>
      <c r="BJ14" s="688">
        <v>0.37</v>
      </c>
    </row>
    <row r="15" spans="1:62" ht="12.75" customHeight="1" x14ac:dyDescent="0.2">
      <c r="A15" s="500">
        <v>600</v>
      </c>
      <c r="B15" s="656">
        <v>0.11</v>
      </c>
      <c r="C15" s="656">
        <v>0.28999999999999998</v>
      </c>
      <c r="D15" s="657" t="s">
        <v>291</v>
      </c>
      <c r="E15" s="658">
        <f t="shared" si="0"/>
        <v>0.09</v>
      </c>
      <c r="F15" s="656">
        <v>0.19</v>
      </c>
      <c r="G15" s="1548"/>
      <c r="H15" s="500">
        <v>600</v>
      </c>
      <c r="I15" s="656">
        <v>0.38</v>
      </c>
      <c r="J15" s="656">
        <v>0.19</v>
      </c>
      <c r="K15" s="657" t="s">
        <v>291</v>
      </c>
      <c r="L15" s="658">
        <f t="shared" si="1"/>
        <v>9.5000000000000001E-2</v>
      </c>
      <c r="M15" s="656">
        <v>0.32</v>
      </c>
      <c r="O15" s="776">
        <v>600</v>
      </c>
      <c r="P15" s="661">
        <v>9.9999999999999995E-7</v>
      </c>
      <c r="Q15" s="661">
        <v>9.9999999999999995E-7</v>
      </c>
      <c r="R15" s="661">
        <v>9.9999999999999995E-7</v>
      </c>
      <c r="S15" s="662">
        <f t="shared" si="2"/>
        <v>0</v>
      </c>
      <c r="T15" s="661">
        <v>0.71</v>
      </c>
      <c r="V15" s="777">
        <v>600</v>
      </c>
      <c r="W15" s="665">
        <v>9.9999999999999995E-7</v>
      </c>
      <c r="X15" s="665">
        <v>-0.1</v>
      </c>
      <c r="Y15" s="664">
        <v>9.9999999999999995E-7</v>
      </c>
      <c r="Z15" s="666">
        <f t="shared" si="3"/>
        <v>5.0000500000000003E-2</v>
      </c>
      <c r="AA15" s="665">
        <v>0.11</v>
      </c>
      <c r="AB15" s="1549"/>
      <c r="AC15" s="777">
        <v>600</v>
      </c>
      <c r="AD15" s="665">
        <f>-AC15+599.96</f>
        <v>-3.999999999996362E-2</v>
      </c>
      <c r="AE15" s="665">
        <v>0.02</v>
      </c>
      <c r="AF15" s="664">
        <v>9.9999999999999995E-7</v>
      </c>
      <c r="AG15" s="666">
        <f t="shared" si="4"/>
        <v>2.9999999999981812E-2</v>
      </c>
      <c r="AH15" s="665">
        <v>0.3</v>
      </c>
      <c r="AJ15" s="778">
        <v>600</v>
      </c>
      <c r="AK15" s="682">
        <f>-AJ15+598.46</f>
        <v>-1.5399999999999636</v>
      </c>
      <c r="AL15" s="682">
        <v>0.14000000000000001</v>
      </c>
      <c r="AM15" s="680" t="s">
        <v>291</v>
      </c>
      <c r="AN15" s="681">
        <f t="shared" si="5"/>
        <v>0.83999999999998187</v>
      </c>
      <c r="AO15" s="682">
        <v>0.52</v>
      </c>
      <c r="AP15" s="1519"/>
      <c r="AQ15" s="778">
        <v>600</v>
      </c>
      <c r="AR15" s="682">
        <f>-AQ15+599.29</f>
        <v>-0.71000000000003638</v>
      </c>
      <c r="AS15" s="682">
        <v>9.9999999999999995E-7</v>
      </c>
      <c r="AT15" s="680" t="s">
        <v>291</v>
      </c>
      <c r="AU15" s="681">
        <f t="shared" si="6"/>
        <v>0.3550005000000182</v>
      </c>
      <c r="AV15" s="682">
        <v>0.62</v>
      </c>
      <c r="AX15" s="779">
        <v>600</v>
      </c>
      <c r="AY15" s="688">
        <f>600.15-AX15</f>
        <v>0.14999999999997726</v>
      </c>
      <c r="AZ15" s="687" t="s">
        <v>291</v>
      </c>
      <c r="BA15" s="687" t="s">
        <v>291</v>
      </c>
      <c r="BB15" s="689">
        <f t="shared" si="7"/>
        <v>0</v>
      </c>
      <c r="BC15" s="688">
        <v>0.57999999999999996</v>
      </c>
      <c r="BD15" s="1425"/>
      <c r="BE15" s="779">
        <v>600</v>
      </c>
      <c r="BF15" s="688">
        <f>598.98-BE15</f>
        <v>-1.0199999999999818</v>
      </c>
      <c r="BG15" s="687"/>
      <c r="BH15" s="687" t="s">
        <v>291</v>
      </c>
      <c r="BI15" s="689">
        <f t="shared" si="8"/>
        <v>0</v>
      </c>
      <c r="BJ15" s="688">
        <v>0.37</v>
      </c>
    </row>
    <row r="16" spans="1:62" ht="12.75" customHeight="1" x14ac:dyDescent="0.2">
      <c r="A16" s="1550"/>
      <c r="B16" s="1550"/>
      <c r="C16" s="1550"/>
      <c r="D16" s="1550"/>
      <c r="E16" s="1550"/>
      <c r="F16" s="780"/>
      <c r="G16" s="1548"/>
      <c r="H16" s="1530"/>
      <c r="I16" s="1530"/>
      <c r="J16" s="1530"/>
      <c r="K16" s="1530"/>
      <c r="L16" s="1530"/>
      <c r="M16" s="780"/>
      <c r="O16" s="781"/>
      <c r="P16" s="781"/>
      <c r="Q16" s="781"/>
      <c r="R16" s="781"/>
      <c r="S16" s="781"/>
      <c r="T16" s="781"/>
      <c r="V16" s="1554"/>
      <c r="W16" s="1554"/>
      <c r="X16" s="1554"/>
      <c r="Y16" s="1554"/>
      <c r="Z16" s="1554"/>
      <c r="AA16" s="783"/>
      <c r="AB16" s="1549"/>
      <c r="AC16" s="1526"/>
      <c r="AD16" s="1526"/>
      <c r="AE16" s="1526"/>
      <c r="AF16" s="1526"/>
      <c r="AG16" s="1526"/>
      <c r="AH16" s="783"/>
      <c r="AJ16" s="1521"/>
      <c r="AK16" s="1521"/>
      <c r="AL16" s="1521"/>
      <c r="AM16" s="1521"/>
      <c r="AN16" s="1521"/>
      <c r="AO16" s="784"/>
      <c r="AP16" s="1519"/>
      <c r="AQ16" s="1510"/>
      <c r="AR16" s="1510"/>
      <c r="AS16" s="1510"/>
      <c r="AT16" s="1510"/>
      <c r="AU16" s="1510"/>
      <c r="AV16" s="784"/>
      <c r="AX16" s="1515"/>
      <c r="AY16" s="1515"/>
      <c r="AZ16" s="1515"/>
      <c r="BA16" s="1515"/>
      <c r="BB16" s="1515"/>
      <c r="BC16" s="785"/>
      <c r="BD16" s="1425"/>
      <c r="BE16" s="1511"/>
      <c r="BF16" s="1511"/>
      <c r="BG16" s="1511"/>
      <c r="BH16" s="1511"/>
      <c r="BI16" s="1511"/>
      <c r="BJ16" s="785"/>
    </row>
    <row r="17" spans="1:62" ht="15.75" customHeight="1" x14ac:dyDescent="0.25">
      <c r="A17" s="1551" t="s">
        <v>396</v>
      </c>
      <c r="B17" s="1551"/>
      <c r="C17" s="1551"/>
      <c r="D17" s="1551"/>
      <c r="E17" s="1525" t="s">
        <v>287</v>
      </c>
      <c r="F17" s="1523" t="s">
        <v>391</v>
      </c>
      <c r="G17" s="1548"/>
      <c r="H17" s="1551" t="s">
        <v>397</v>
      </c>
      <c r="I17" s="1551"/>
      <c r="J17" s="1551"/>
      <c r="K17" s="1551"/>
      <c r="L17" s="1525" t="s">
        <v>287</v>
      </c>
      <c r="M17" s="1523" t="s">
        <v>393</v>
      </c>
      <c r="O17" s="1572">
        <v>2</v>
      </c>
      <c r="P17" s="1572"/>
      <c r="Q17" s="1572"/>
      <c r="R17" s="1572"/>
      <c r="S17" s="1572"/>
      <c r="T17" s="1572"/>
      <c r="V17" s="1555" t="s">
        <v>396</v>
      </c>
      <c r="W17" s="1555"/>
      <c r="X17" s="1555"/>
      <c r="Y17" s="1555"/>
      <c r="Z17" s="1340" t="s">
        <v>287</v>
      </c>
      <c r="AA17" s="1522" t="s">
        <v>393</v>
      </c>
      <c r="AB17" s="1549"/>
      <c r="AC17" s="1555" t="s">
        <v>397</v>
      </c>
      <c r="AD17" s="1555"/>
      <c r="AE17" s="1555"/>
      <c r="AF17" s="1555"/>
      <c r="AG17" s="1340" t="s">
        <v>287</v>
      </c>
      <c r="AH17" s="1522" t="s">
        <v>393</v>
      </c>
      <c r="AJ17" s="1517" t="s">
        <v>396</v>
      </c>
      <c r="AK17" s="1517"/>
      <c r="AL17" s="1517"/>
      <c r="AM17" s="1517"/>
      <c r="AN17" s="1507" t="s">
        <v>287</v>
      </c>
      <c r="AO17" s="1508" t="s">
        <v>393</v>
      </c>
      <c r="AP17" s="1519"/>
      <c r="AQ17" s="1517" t="s">
        <v>397</v>
      </c>
      <c r="AR17" s="1517"/>
      <c r="AS17" s="1517"/>
      <c r="AT17" s="1517"/>
      <c r="AU17" s="1507" t="s">
        <v>287</v>
      </c>
      <c r="AV17" s="1508" t="s">
        <v>393</v>
      </c>
      <c r="AX17" s="1420" t="s">
        <v>396</v>
      </c>
      <c r="AY17" s="1420"/>
      <c r="AZ17" s="1420"/>
      <c r="BA17" s="1420"/>
      <c r="BB17" s="1421" t="s">
        <v>287</v>
      </c>
      <c r="BC17" s="1505" t="s">
        <v>393</v>
      </c>
      <c r="BD17" s="1425"/>
      <c r="BE17" s="1420" t="s">
        <v>397</v>
      </c>
      <c r="BF17" s="1420"/>
      <c r="BG17" s="1420"/>
      <c r="BH17" s="1420"/>
      <c r="BI17" s="1421" t="s">
        <v>287</v>
      </c>
      <c r="BJ17" s="1505" t="s">
        <v>393</v>
      </c>
    </row>
    <row r="18" spans="1:62" ht="12.75" customHeight="1" x14ac:dyDescent="0.2">
      <c r="A18" s="759" t="s">
        <v>164</v>
      </c>
      <c r="B18" s="1525" t="s">
        <v>286</v>
      </c>
      <c r="C18" s="1525"/>
      <c r="D18" s="1525"/>
      <c r="E18" s="1525"/>
      <c r="F18" s="1523"/>
      <c r="G18" s="1548"/>
      <c r="H18" s="759" t="s">
        <v>164</v>
      </c>
      <c r="I18" s="1525" t="s">
        <v>286</v>
      </c>
      <c r="J18" s="1525"/>
      <c r="K18" s="1525"/>
      <c r="L18" s="1525"/>
      <c r="M18" s="1523"/>
      <c r="O18" s="1572"/>
      <c r="P18" s="1572"/>
      <c r="Q18" s="1572"/>
      <c r="R18" s="1572"/>
      <c r="S18" s="1572"/>
      <c r="T18" s="1572"/>
      <c r="V18" s="761" t="s">
        <v>164</v>
      </c>
      <c r="W18" s="1340" t="s">
        <v>286</v>
      </c>
      <c r="X18" s="1340"/>
      <c r="Y18" s="1340"/>
      <c r="Z18" s="1340"/>
      <c r="AA18" s="1522"/>
      <c r="AB18" s="1549"/>
      <c r="AC18" s="761" t="s">
        <v>164</v>
      </c>
      <c r="AD18" s="1340" t="s">
        <v>286</v>
      </c>
      <c r="AE18" s="1340"/>
      <c r="AF18" s="1340"/>
      <c r="AG18" s="1340"/>
      <c r="AH18" s="1522"/>
      <c r="AJ18" s="762" t="s">
        <v>164</v>
      </c>
      <c r="AK18" s="1507" t="s">
        <v>286</v>
      </c>
      <c r="AL18" s="1507"/>
      <c r="AM18" s="1507"/>
      <c r="AN18" s="1507"/>
      <c r="AO18" s="1508"/>
      <c r="AP18" s="1519"/>
      <c r="AQ18" s="762" t="s">
        <v>164</v>
      </c>
      <c r="AR18" s="1507" t="s">
        <v>286</v>
      </c>
      <c r="AS18" s="1507"/>
      <c r="AT18" s="1507"/>
      <c r="AU18" s="1507"/>
      <c r="AV18" s="1508"/>
      <c r="AX18" s="763" t="s">
        <v>164</v>
      </c>
      <c r="AY18" s="1421" t="s">
        <v>286</v>
      </c>
      <c r="AZ18" s="1421"/>
      <c r="BA18" s="1421"/>
      <c r="BB18" s="1421"/>
      <c r="BC18" s="1505"/>
      <c r="BD18" s="1425"/>
      <c r="BE18" s="763" t="s">
        <v>164</v>
      </c>
      <c r="BF18" s="1421" t="s">
        <v>286</v>
      </c>
      <c r="BG18" s="1421"/>
      <c r="BH18" s="1421"/>
      <c r="BI18" s="1421"/>
      <c r="BJ18" s="1505"/>
    </row>
    <row r="19" spans="1:62" ht="15" customHeight="1" x14ac:dyDescent="0.2">
      <c r="A19" s="764" t="s">
        <v>395</v>
      </c>
      <c r="B19" s="765">
        <f>B5</f>
        <v>2021</v>
      </c>
      <c r="C19" s="765">
        <f>C5</f>
        <v>2019</v>
      </c>
      <c r="D19" s="765" t="str">
        <f>D5</f>
        <v>-</v>
      </c>
      <c r="E19" s="1525"/>
      <c r="F19" s="1523"/>
      <c r="G19" s="1548"/>
      <c r="H19" s="764" t="s">
        <v>395</v>
      </c>
      <c r="I19" s="765">
        <f>B5</f>
        <v>2021</v>
      </c>
      <c r="J19" s="765">
        <f>C5</f>
        <v>2019</v>
      </c>
      <c r="K19" s="765" t="str">
        <f>D5</f>
        <v>-</v>
      </c>
      <c r="L19" s="1525"/>
      <c r="M19" s="1523"/>
      <c r="O19" s="1572"/>
      <c r="P19" s="1572"/>
      <c r="Q19" s="1572"/>
      <c r="R19" s="1572"/>
      <c r="S19" s="1572"/>
      <c r="T19" s="1572"/>
      <c r="V19" s="725" t="s">
        <v>395</v>
      </c>
      <c r="W19" s="718">
        <f>W5</f>
        <v>2022</v>
      </c>
      <c r="X19" s="718">
        <f>X5</f>
        <v>2019</v>
      </c>
      <c r="Y19" s="718">
        <f>Y5</f>
        <v>2016</v>
      </c>
      <c r="Z19" s="1340"/>
      <c r="AA19" s="1522"/>
      <c r="AB19" s="1549"/>
      <c r="AC19" s="725" t="s">
        <v>395</v>
      </c>
      <c r="AD19" s="718">
        <f>W5</f>
        <v>2022</v>
      </c>
      <c r="AE19" s="718">
        <f>X5</f>
        <v>2019</v>
      </c>
      <c r="AF19" s="718">
        <f>Y5</f>
        <v>2016</v>
      </c>
      <c r="AG19" s="1340"/>
      <c r="AH19" s="1522"/>
      <c r="AJ19" s="770" t="s">
        <v>395</v>
      </c>
      <c r="AK19" s="771">
        <f>AK5</f>
        <v>2022</v>
      </c>
      <c r="AL19" s="771">
        <f>AL5</f>
        <v>2021</v>
      </c>
      <c r="AM19" s="771" t="str">
        <f>AM5</f>
        <v>-</v>
      </c>
      <c r="AN19" s="1507"/>
      <c r="AO19" s="1508"/>
      <c r="AP19" s="1519"/>
      <c r="AQ19" s="770" t="s">
        <v>395</v>
      </c>
      <c r="AR19" s="771">
        <f>AK5</f>
        <v>2022</v>
      </c>
      <c r="AS19" s="771">
        <f>AL5</f>
        <v>2021</v>
      </c>
      <c r="AT19" s="771" t="str">
        <f>AM5</f>
        <v>-</v>
      </c>
      <c r="AU19" s="1507"/>
      <c r="AV19" s="1508"/>
      <c r="AX19" s="773" t="s">
        <v>395</v>
      </c>
      <c r="AY19" s="774">
        <f>AY5</f>
        <v>2022</v>
      </c>
      <c r="AZ19" s="774" t="str">
        <f>AZ5</f>
        <v>-</v>
      </c>
      <c r="BA19" s="774" t="str">
        <f>BA5</f>
        <v>-</v>
      </c>
      <c r="BB19" s="1421"/>
      <c r="BC19" s="1505"/>
      <c r="BD19" s="1425"/>
      <c r="BE19" s="773" t="s">
        <v>395</v>
      </c>
      <c r="BF19" s="774">
        <f>AY5</f>
        <v>2022</v>
      </c>
      <c r="BG19" s="774" t="str">
        <f>AZ5</f>
        <v>-</v>
      </c>
      <c r="BH19" s="774" t="str">
        <f>BA5</f>
        <v>-</v>
      </c>
      <c r="BI19" s="1421"/>
      <c r="BJ19" s="1505"/>
    </row>
    <row r="20" spans="1:62" ht="12.75" customHeight="1" x14ac:dyDescent="0.2">
      <c r="A20" s="500">
        <v>0</v>
      </c>
      <c r="B20" s="656">
        <v>9.9999999999999995E-7</v>
      </c>
      <c r="C20" s="656">
        <v>9.9999999999999995E-7</v>
      </c>
      <c r="D20" s="657" t="s">
        <v>291</v>
      </c>
      <c r="E20" s="656">
        <v>9.9999999999999995E-7</v>
      </c>
      <c r="F20" s="656">
        <v>0.41</v>
      </c>
      <c r="G20" s="1548"/>
      <c r="H20" s="500">
        <v>0</v>
      </c>
      <c r="I20" s="656">
        <v>9.9999999999999995E-7</v>
      </c>
      <c r="J20" s="656">
        <v>9.9999999999999995E-7</v>
      </c>
      <c r="K20" s="657" t="s">
        <v>291</v>
      </c>
      <c r="L20" s="656">
        <v>9.9999999999999995E-7</v>
      </c>
      <c r="M20" s="656">
        <v>0.28999999999999998</v>
      </c>
      <c r="O20" s="1572"/>
      <c r="P20" s="1572"/>
      <c r="Q20" s="1572"/>
      <c r="R20" s="1572"/>
      <c r="S20" s="1572"/>
      <c r="T20" s="1572"/>
      <c r="V20" s="777">
        <v>9.9999999999999995E-7</v>
      </c>
      <c r="W20" s="665">
        <v>9.9999999999999995E-7</v>
      </c>
      <c r="X20" s="665">
        <v>9.9999999999999995E-7</v>
      </c>
      <c r="Y20" s="665">
        <v>9.9999999999999995E-7</v>
      </c>
      <c r="Z20" s="665">
        <v>9.9999999999999995E-7</v>
      </c>
      <c r="AA20" s="665">
        <v>0.33</v>
      </c>
      <c r="AB20" s="1549"/>
      <c r="AC20" s="777">
        <v>9.9999999999999995E-7</v>
      </c>
      <c r="AD20" s="665">
        <v>9.9999999999999995E-7</v>
      </c>
      <c r="AE20" s="665">
        <v>9.9999999999999995E-7</v>
      </c>
      <c r="AF20" s="665">
        <v>9.9999999999999995E-7</v>
      </c>
      <c r="AG20" s="665">
        <v>9.9999999999999995E-7</v>
      </c>
      <c r="AH20" s="665">
        <v>0.14000000000000001</v>
      </c>
      <c r="AJ20" s="778">
        <v>9.9999999999999995E-7</v>
      </c>
      <c r="AK20" s="682">
        <v>9.9999999999999995E-7</v>
      </c>
      <c r="AL20" s="682">
        <v>9.9999999999999995E-7</v>
      </c>
      <c r="AM20" s="680" t="s">
        <v>291</v>
      </c>
      <c r="AN20" s="681">
        <f>0.5*(MAX(AK20:AM20)-MIN(AK20:AM20))</f>
        <v>0</v>
      </c>
      <c r="AO20" s="682">
        <v>0.54</v>
      </c>
      <c r="AP20" s="1519"/>
      <c r="AQ20" s="778">
        <v>9.9999999999999995E-7</v>
      </c>
      <c r="AR20" s="682">
        <v>9.9999999999999995E-7</v>
      </c>
      <c r="AS20" s="682">
        <v>9.9999999999999995E-7</v>
      </c>
      <c r="AT20" s="680" t="s">
        <v>291</v>
      </c>
      <c r="AU20" s="681">
        <f>0.5*(MAX(AR20:AT20)-MIN(AR20:AT20))</f>
        <v>0</v>
      </c>
      <c r="AV20" s="682">
        <v>0.27</v>
      </c>
      <c r="AX20" s="779">
        <v>0</v>
      </c>
      <c r="AY20" s="688">
        <v>9.9999999999999995E-7</v>
      </c>
      <c r="AZ20" s="688" t="s">
        <v>291</v>
      </c>
      <c r="BA20" s="687" t="s">
        <v>291</v>
      </c>
      <c r="BB20" s="688">
        <v>9.9999999999999995E-7</v>
      </c>
      <c r="BC20" s="688">
        <v>0.65</v>
      </c>
      <c r="BD20" s="1425"/>
      <c r="BE20" s="779">
        <v>0</v>
      </c>
      <c r="BF20" s="688">
        <v>9.9999999999999995E-7</v>
      </c>
      <c r="BG20" s="688" t="s">
        <v>291</v>
      </c>
      <c r="BH20" s="687" t="s">
        <v>291</v>
      </c>
      <c r="BI20" s="688">
        <v>9.9999999999999995E-7</v>
      </c>
      <c r="BJ20" s="688">
        <v>0.74</v>
      </c>
    </row>
    <row r="21" spans="1:62" ht="12.75" customHeight="1" x14ac:dyDescent="0.2">
      <c r="A21" s="500">
        <v>10</v>
      </c>
      <c r="B21" s="656">
        <v>0.11</v>
      </c>
      <c r="C21" s="656">
        <v>0.05</v>
      </c>
      <c r="D21" s="657" t="s">
        <v>291</v>
      </c>
      <c r="E21" s="658">
        <f t="shared" ref="E21:E29" si="9">0.5*(MAX(B21:D21)-MIN(B21:D21))</f>
        <v>0.03</v>
      </c>
      <c r="F21" s="656">
        <v>0.41</v>
      </c>
      <c r="G21" s="1548"/>
      <c r="H21" s="500">
        <v>10</v>
      </c>
      <c r="I21" s="656">
        <v>-0.08</v>
      </c>
      <c r="J21" s="656">
        <v>-0.17</v>
      </c>
      <c r="K21" s="657" t="s">
        <v>291</v>
      </c>
      <c r="L21" s="658">
        <f t="shared" ref="L21:L29" si="10">0.5*(MAX(I21:K21)-MIN(I21:K21))</f>
        <v>4.5000000000000005E-2</v>
      </c>
      <c r="M21" s="656">
        <v>0.28999999999999998</v>
      </c>
      <c r="O21" s="1572"/>
      <c r="P21" s="1572"/>
      <c r="Q21" s="1572"/>
      <c r="R21" s="1572"/>
      <c r="S21" s="1572"/>
      <c r="T21" s="1572"/>
      <c r="V21" s="777">
        <v>10</v>
      </c>
      <c r="W21" s="665">
        <f>-V21+10.15</f>
        <v>0.15000000000000036</v>
      </c>
      <c r="X21" s="665">
        <v>0.01</v>
      </c>
      <c r="Y21" s="665">
        <v>9.9999999999999995E-7</v>
      </c>
      <c r="Z21" s="666">
        <f t="shared" ref="Z21:Z29" si="11">0.5*(MAX(W21:Y21)-MIN(W21:Y21))</f>
        <v>7.4999500000000177E-2</v>
      </c>
      <c r="AA21" s="665">
        <v>0.33</v>
      </c>
      <c r="AB21" s="1549"/>
      <c r="AC21" s="777">
        <v>10</v>
      </c>
      <c r="AD21" s="665">
        <f>-AC21+10.01</f>
        <v>9.9999999999997868E-3</v>
      </c>
      <c r="AE21" s="665">
        <v>0.01</v>
      </c>
      <c r="AF21" s="665">
        <v>9.9999999999999995E-7</v>
      </c>
      <c r="AG21" s="666">
        <f t="shared" ref="AG21:AG29" si="12">0.5*(MAX(AD21:AF21)-MIN(AD21:AF21))</f>
        <v>4.9995000000000005E-3</v>
      </c>
      <c r="AH21" s="665">
        <v>0.14000000000000001</v>
      </c>
      <c r="AJ21" s="778">
        <v>10</v>
      </c>
      <c r="AK21" s="682">
        <f>-AJ21+9.92</f>
        <v>-8.0000000000000071E-2</v>
      </c>
      <c r="AL21" s="682">
        <v>-0.05</v>
      </c>
      <c r="AM21" s="680" t="s">
        <v>291</v>
      </c>
      <c r="AN21" s="681">
        <f t="shared" ref="AN21:AN29" si="13">0.5*(MAX(AK21:AM21)-MIN(AK21:AM21))</f>
        <v>1.5000000000000034E-2</v>
      </c>
      <c r="AO21" s="682">
        <v>0.54</v>
      </c>
      <c r="AP21" s="1519"/>
      <c r="AQ21" s="778">
        <v>10</v>
      </c>
      <c r="AR21" s="682">
        <f>-AQ21+9.92</f>
        <v>-8.0000000000000071E-2</v>
      </c>
      <c r="AS21" s="682">
        <v>-0.02</v>
      </c>
      <c r="AT21" s="680" t="s">
        <v>291</v>
      </c>
      <c r="AU21" s="681">
        <f t="shared" ref="AU21:AU29" si="14">0.5*(MAX(AR21:AT21)-MIN(AR21:AT21))</f>
        <v>3.0000000000000034E-2</v>
      </c>
      <c r="AV21" s="682">
        <v>0.27</v>
      </c>
      <c r="AX21" s="779">
        <v>10</v>
      </c>
      <c r="AY21" s="688">
        <f>9.25-AX21</f>
        <v>-0.75</v>
      </c>
      <c r="AZ21" s="688" t="s">
        <v>291</v>
      </c>
      <c r="BA21" s="688" t="s">
        <v>291</v>
      </c>
      <c r="BB21" s="689">
        <f t="shared" ref="BB21:BB29" si="15">0.5*(MAX(AY21:BA21)-MIN(AY21:BA21))</f>
        <v>0</v>
      </c>
      <c r="BC21" s="688">
        <v>0.65</v>
      </c>
      <c r="BD21" s="1425"/>
      <c r="BE21" s="779">
        <v>10</v>
      </c>
      <c r="BF21" s="688">
        <f>9.68-BE21</f>
        <v>-0.32000000000000028</v>
      </c>
      <c r="BG21" s="688" t="s">
        <v>291</v>
      </c>
      <c r="BH21" s="688" t="s">
        <v>291</v>
      </c>
      <c r="BI21" s="689">
        <f t="shared" ref="BI21:BI29" si="16">0.5*(MAX(BF21:BH21)-MIN(BF21:BH21))</f>
        <v>0</v>
      </c>
      <c r="BJ21" s="688">
        <v>0.74</v>
      </c>
    </row>
    <row r="22" spans="1:62" ht="12.75" customHeight="1" x14ac:dyDescent="0.2">
      <c r="A22" s="500">
        <v>50</v>
      </c>
      <c r="B22" s="656">
        <v>0.1</v>
      </c>
      <c r="C22" s="656">
        <v>0.05</v>
      </c>
      <c r="D22" s="657" t="s">
        <v>291</v>
      </c>
      <c r="E22" s="658">
        <f t="shared" si="9"/>
        <v>2.5000000000000001E-2</v>
      </c>
      <c r="F22" s="656">
        <v>0.41</v>
      </c>
      <c r="G22" s="1548"/>
      <c r="H22" s="500">
        <v>50</v>
      </c>
      <c r="I22" s="656">
        <v>-0.06</v>
      </c>
      <c r="J22" s="656">
        <v>-0.12</v>
      </c>
      <c r="K22" s="657" t="s">
        <v>291</v>
      </c>
      <c r="L22" s="658">
        <f t="shared" si="10"/>
        <v>0.03</v>
      </c>
      <c r="M22" s="656">
        <v>0.28999999999999998</v>
      </c>
      <c r="O22" s="1572"/>
      <c r="P22" s="1572"/>
      <c r="Q22" s="1572"/>
      <c r="R22" s="1572"/>
      <c r="S22" s="1572"/>
      <c r="T22" s="1572"/>
      <c r="V22" s="777">
        <v>50</v>
      </c>
      <c r="W22" s="665">
        <f>-V22+50.13</f>
        <v>0.13000000000000256</v>
      </c>
      <c r="X22" s="665">
        <v>0.01</v>
      </c>
      <c r="Y22" s="665">
        <v>0.08</v>
      </c>
      <c r="Z22" s="666">
        <f t="shared" si="11"/>
        <v>6.0000000000001281E-2</v>
      </c>
      <c r="AA22" s="665">
        <v>0.33</v>
      </c>
      <c r="AB22" s="1549"/>
      <c r="AC22" s="777">
        <v>50</v>
      </c>
      <c r="AD22" s="665">
        <f>-AC22+50.01</f>
        <v>9.9999999999980105E-3</v>
      </c>
      <c r="AE22" s="665">
        <v>0.01</v>
      </c>
      <c r="AF22" s="665">
        <v>0.08</v>
      </c>
      <c r="AG22" s="666">
        <f t="shared" si="12"/>
        <v>3.5000000000000996E-2</v>
      </c>
      <c r="AH22" s="665">
        <v>0.14000000000000001</v>
      </c>
      <c r="AJ22" s="778">
        <v>50</v>
      </c>
      <c r="AK22" s="682">
        <f>-AJ22+49.87</f>
        <v>-0.13000000000000256</v>
      </c>
      <c r="AL22" s="682">
        <v>-0.04</v>
      </c>
      <c r="AM22" s="680" t="s">
        <v>291</v>
      </c>
      <c r="AN22" s="681">
        <f t="shared" si="13"/>
        <v>4.5000000000001275E-2</v>
      </c>
      <c r="AO22" s="682">
        <v>0.54</v>
      </c>
      <c r="AP22" s="1519"/>
      <c r="AQ22" s="778">
        <v>50</v>
      </c>
      <c r="AR22" s="682">
        <f>-AQ22+49.93</f>
        <v>-7.0000000000000284E-2</v>
      </c>
      <c r="AS22" s="682">
        <v>-0.01</v>
      </c>
      <c r="AT22" s="680" t="s">
        <v>291</v>
      </c>
      <c r="AU22" s="681">
        <f t="shared" si="14"/>
        <v>3.0000000000000141E-2</v>
      </c>
      <c r="AV22" s="682">
        <v>0.27</v>
      </c>
      <c r="AX22" s="779">
        <v>50</v>
      </c>
      <c r="AY22" s="688">
        <f>49.29-AX22</f>
        <v>-0.71000000000000085</v>
      </c>
      <c r="AZ22" s="688" t="s">
        <v>291</v>
      </c>
      <c r="BA22" s="688" t="s">
        <v>291</v>
      </c>
      <c r="BB22" s="689">
        <f t="shared" si="15"/>
        <v>0</v>
      </c>
      <c r="BC22" s="688">
        <v>0.65</v>
      </c>
      <c r="BD22" s="1425"/>
      <c r="BE22" s="779">
        <v>50</v>
      </c>
      <c r="BF22" s="688">
        <f>49.67-BE22</f>
        <v>-0.32999999999999829</v>
      </c>
      <c r="BG22" s="688" t="s">
        <v>291</v>
      </c>
      <c r="BH22" s="688" t="s">
        <v>291</v>
      </c>
      <c r="BI22" s="689">
        <f t="shared" si="16"/>
        <v>0</v>
      </c>
      <c r="BJ22" s="688">
        <v>0.74</v>
      </c>
    </row>
    <row r="23" spans="1:62" ht="12.75" customHeight="1" x14ac:dyDescent="0.2">
      <c r="A23" s="500">
        <v>100</v>
      </c>
      <c r="B23" s="656">
        <v>0.09</v>
      </c>
      <c r="C23" s="656">
        <v>0.06</v>
      </c>
      <c r="D23" s="657" t="s">
        <v>291</v>
      </c>
      <c r="E23" s="658">
        <f t="shared" si="9"/>
        <v>1.4999999999999999E-2</v>
      </c>
      <c r="F23" s="656">
        <v>0.41</v>
      </c>
      <c r="G23" s="1548"/>
      <c r="H23" s="500">
        <v>100</v>
      </c>
      <c r="I23" s="656">
        <v>-0.04</v>
      </c>
      <c r="J23" s="656">
        <v>-0.09</v>
      </c>
      <c r="K23" s="657" t="s">
        <v>291</v>
      </c>
      <c r="L23" s="658">
        <f t="shared" si="10"/>
        <v>2.4999999999999998E-2</v>
      </c>
      <c r="M23" s="656">
        <v>0.28999999999999998</v>
      </c>
      <c r="O23" s="1572"/>
      <c r="P23" s="1572"/>
      <c r="Q23" s="1572"/>
      <c r="R23" s="1572"/>
      <c r="S23" s="1572"/>
      <c r="T23" s="1572"/>
      <c r="V23" s="777">
        <v>100</v>
      </c>
      <c r="W23" s="665">
        <f>-V23+100.11</f>
        <v>0.10999999999999943</v>
      </c>
      <c r="X23" s="665">
        <v>0.01</v>
      </c>
      <c r="Y23" s="664">
        <v>9.9999999999999995E-7</v>
      </c>
      <c r="Z23" s="666">
        <f t="shared" si="11"/>
        <v>5.4999499999999715E-2</v>
      </c>
      <c r="AA23" s="665">
        <v>0.33</v>
      </c>
      <c r="AB23" s="1549"/>
      <c r="AC23" s="777">
        <v>100</v>
      </c>
      <c r="AD23" s="665">
        <f>-AC23+100.01</f>
        <v>1.0000000000005116E-2</v>
      </c>
      <c r="AE23" s="665">
        <v>0.01</v>
      </c>
      <c r="AF23" s="664">
        <v>9.9999999999999995E-7</v>
      </c>
      <c r="AG23" s="666">
        <f t="shared" si="12"/>
        <v>4.9995000000025583E-3</v>
      </c>
      <c r="AH23" s="665">
        <v>0.14000000000000001</v>
      </c>
      <c r="AJ23" s="778">
        <v>100</v>
      </c>
      <c r="AK23" s="682">
        <f>-AJ23+99.8</f>
        <v>-0.20000000000000284</v>
      </c>
      <c r="AL23" s="682">
        <v>-0.03</v>
      </c>
      <c r="AM23" s="680" t="s">
        <v>291</v>
      </c>
      <c r="AN23" s="681">
        <f t="shared" si="13"/>
        <v>8.5000000000001422E-2</v>
      </c>
      <c r="AO23" s="682">
        <v>0.54</v>
      </c>
      <c r="AP23" s="1519"/>
      <c r="AQ23" s="778">
        <v>100</v>
      </c>
      <c r="AR23" s="682">
        <f>-AQ23+99.95</f>
        <v>-4.9999999999997158E-2</v>
      </c>
      <c r="AS23" s="682">
        <v>9.9999999999999995E-7</v>
      </c>
      <c r="AT23" s="680" t="s">
        <v>291</v>
      </c>
      <c r="AU23" s="681">
        <f t="shared" si="14"/>
        <v>2.5000499999998579E-2</v>
      </c>
      <c r="AV23" s="682">
        <v>0.27</v>
      </c>
      <c r="AX23" s="779">
        <v>100</v>
      </c>
      <c r="AY23" s="688">
        <f>99.35-AX23</f>
        <v>-0.65000000000000568</v>
      </c>
      <c r="AZ23" s="687" t="s">
        <v>291</v>
      </c>
      <c r="BA23" s="687" t="s">
        <v>291</v>
      </c>
      <c r="BB23" s="689">
        <f t="shared" si="15"/>
        <v>0</v>
      </c>
      <c r="BC23" s="688">
        <v>0.65</v>
      </c>
      <c r="BD23" s="1425"/>
      <c r="BE23" s="779">
        <v>100</v>
      </c>
      <c r="BF23" s="688">
        <f>99.65-BE23</f>
        <v>-0.34999999999999432</v>
      </c>
      <c r="BG23" s="687" t="s">
        <v>291</v>
      </c>
      <c r="BH23" s="687" t="s">
        <v>291</v>
      </c>
      <c r="BI23" s="689">
        <f t="shared" si="16"/>
        <v>0</v>
      </c>
      <c r="BJ23" s="688">
        <v>0.74</v>
      </c>
    </row>
    <row r="24" spans="1:62" ht="12.75" customHeight="1" x14ac:dyDescent="0.2">
      <c r="A24" s="500">
        <v>150</v>
      </c>
      <c r="B24" s="656">
        <v>0.09</v>
      </c>
      <c r="C24" s="656">
        <v>7.0000000000000007E-2</v>
      </c>
      <c r="D24" s="657" t="s">
        <v>291</v>
      </c>
      <c r="E24" s="658">
        <f t="shared" si="9"/>
        <v>9.999999999999995E-3</v>
      </c>
      <c r="F24" s="656">
        <v>0.41</v>
      </c>
      <c r="G24" s="1548"/>
      <c r="H24" s="500">
        <v>150</v>
      </c>
      <c r="I24" s="656">
        <v>-0.01</v>
      </c>
      <c r="J24" s="656">
        <v>-0.04</v>
      </c>
      <c r="K24" s="657" t="s">
        <v>291</v>
      </c>
      <c r="L24" s="658">
        <f t="shared" si="10"/>
        <v>1.4999999999999999E-2</v>
      </c>
      <c r="M24" s="656">
        <v>0.28999999999999998</v>
      </c>
      <c r="O24" s="1572"/>
      <c r="P24" s="1572"/>
      <c r="Q24" s="1572"/>
      <c r="R24" s="1572"/>
      <c r="S24" s="1572"/>
      <c r="T24" s="1572"/>
      <c r="V24" s="777">
        <v>150</v>
      </c>
      <c r="W24" s="665">
        <f>-V24+150.09</f>
        <v>9.0000000000003411E-2</v>
      </c>
      <c r="X24" s="665">
        <v>0.01</v>
      </c>
      <c r="Y24" s="664">
        <v>0.3</v>
      </c>
      <c r="Z24" s="666">
        <f t="shared" si="11"/>
        <v>0.14499999999999999</v>
      </c>
      <c r="AA24" s="665">
        <v>0.33</v>
      </c>
      <c r="AB24" s="1549"/>
      <c r="AC24" s="777">
        <v>150</v>
      </c>
      <c r="AD24" s="665">
        <f>-AC24+150.01</f>
        <v>9.9999999999909051E-3</v>
      </c>
      <c r="AE24" s="665">
        <v>0.01</v>
      </c>
      <c r="AF24" s="664">
        <v>0.31</v>
      </c>
      <c r="AG24" s="666">
        <f t="shared" si="12"/>
        <v>0.15000000000000455</v>
      </c>
      <c r="AH24" s="665">
        <v>0.14000000000000001</v>
      </c>
      <c r="AJ24" s="778">
        <v>150</v>
      </c>
      <c r="AK24" s="682">
        <f>-AJ24+149.73</f>
        <v>-0.27000000000001023</v>
      </c>
      <c r="AL24" s="682">
        <v>-0.01</v>
      </c>
      <c r="AM24" s="680" t="s">
        <v>291</v>
      </c>
      <c r="AN24" s="681">
        <f t="shared" si="13"/>
        <v>0.13000000000000511</v>
      </c>
      <c r="AO24" s="682">
        <v>0.54</v>
      </c>
      <c r="AP24" s="1519"/>
      <c r="AQ24" s="778">
        <v>150</v>
      </c>
      <c r="AR24" s="682">
        <f>-AQ24+149.97</f>
        <v>-3.0000000000001137E-2</v>
      </c>
      <c r="AS24" s="682">
        <v>0.02</v>
      </c>
      <c r="AT24" s="680" t="s">
        <v>291</v>
      </c>
      <c r="AU24" s="681">
        <f t="shared" si="14"/>
        <v>2.500000000000057E-2</v>
      </c>
      <c r="AV24" s="682">
        <v>0.27</v>
      </c>
      <c r="AX24" s="779">
        <v>150</v>
      </c>
      <c r="AY24" s="688">
        <f>149.41-AX24</f>
        <v>-0.59000000000000341</v>
      </c>
      <c r="AZ24" s="687" t="s">
        <v>291</v>
      </c>
      <c r="BA24" s="687" t="s">
        <v>291</v>
      </c>
      <c r="BB24" s="689">
        <f t="shared" si="15"/>
        <v>0</v>
      </c>
      <c r="BC24" s="688">
        <v>0.65</v>
      </c>
      <c r="BD24" s="1425"/>
      <c r="BE24" s="779">
        <v>150</v>
      </c>
      <c r="BF24" s="688">
        <f>149.63-BE24</f>
        <v>-0.37000000000000455</v>
      </c>
      <c r="BG24" s="687" t="s">
        <v>291</v>
      </c>
      <c r="BH24" s="687" t="s">
        <v>291</v>
      </c>
      <c r="BI24" s="689">
        <f t="shared" si="16"/>
        <v>0</v>
      </c>
      <c r="BJ24" s="688">
        <v>0.74</v>
      </c>
    </row>
    <row r="25" spans="1:62" ht="12.75" customHeight="1" x14ac:dyDescent="0.2">
      <c r="A25" s="500">
        <v>200</v>
      </c>
      <c r="B25" s="656">
        <v>0.08</v>
      </c>
      <c r="C25" s="656">
        <v>7.0000000000000007E-2</v>
      </c>
      <c r="D25" s="657" t="s">
        <v>291</v>
      </c>
      <c r="E25" s="658">
        <f t="shared" si="9"/>
        <v>4.9999999999999975E-3</v>
      </c>
      <c r="F25" s="656">
        <v>0.41</v>
      </c>
      <c r="G25" s="1548"/>
      <c r="H25" s="500">
        <v>200</v>
      </c>
      <c r="I25" s="656">
        <v>0.01</v>
      </c>
      <c r="J25" s="656">
        <v>0.01</v>
      </c>
      <c r="K25" s="657" t="s">
        <v>291</v>
      </c>
      <c r="L25" s="658">
        <f t="shared" si="10"/>
        <v>0</v>
      </c>
      <c r="M25" s="656">
        <v>0.28999999999999998</v>
      </c>
      <c r="O25" s="1572"/>
      <c r="P25" s="1572"/>
      <c r="Q25" s="1572"/>
      <c r="R25" s="1572"/>
      <c r="S25" s="1572"/>
      <c r="T25" s="1572"/>
      <c r="V25" s="777">
        <v>200</v>
      </c>
      <c r="W25" s="665">
        <f>-V25+200.07</f>
        <v>6.9999999999993179E-2</v>
      </c>
      <c r="X25" s="665">
        <v>0.01</v>
      </c>
      <c r="Y25" s="664">
        <v>0.28999999999999998</v>
      </c>
      <c r="Z25" s="666">
        <f t="shared" si="11"/>
        <v>0.13999999999999999</v>
      </c>
      <c r="AA25" s="665">
        <v>0.33</v>
      </c>
      <c r="AB25" s="1549"/>
      <c r="AC25" s="777">
        <v>200</v>
      </c>
      <c r="AD25" s="665">
        <f>-AC25+200.01</f>
        <v>9.9999999999909051E-3</v>
      </c>
      <c r="AE25" s="665">
        <v>0.01</v>
      </c>
      <c r="AF25" s="664">
        <v>0.34</v>
      </c>
      <c r="AG25" s="666">
        <f t="shared" si="12"/>
        <v>0.16500000000000456</v>
      </c>
      <c r="AH25" s="665">
        <v>0.14000000000000001</v>
      </c>
      <c r="AJ25" s="778">
        <v>200</v>
      </c>
      <c r="AK25" s="682">
        <f>-AJ25+199.66</f>
        <v>-0.34000000000000341</v>
      </c>
      <c r="AL25" s="682">
        <v>9.9999999999999995E-7</v>
      </c>
      <c r="AM25" s="680" t="s">
        <v>291</v>
      </c>
      <c r="AN25" s="681">
        <f t="shared" si="13"/>
        <v>0.17000050000000169</v>
      </c>
      <c r="AO25" s="682">
        <v>0.54</v>
      </c>
      <c r="AP25" s="1519"/>
      <c r="AQ25" s="778">
        <v>200</v>
      </c>
      <c r="AR25" s="682">
        <f>-AQ25+199.99</f>
        <v>-9.9999999999909051E-3</v>
      </c>
      <c r="AS25" s="682">
        <v>0.03</v>
      </c>
      <c r="AT25" s="680" t="s">
        <v>291</v>
      </c>
      <c r="AU25" s="681">
        <f t="shared" si="14"/>
        <v>1.9999999999995452E-2</v>
      </c>
      <c r="AV25" s="682">
        <v>0.27</v>
      </c>
      <c r="AX25" s="779">
        <v>200</v>
      </c>
      <c r="AY25" s="688">
        <f>199.47-AX25</f>
        <v>-0.53000000000000114</v>
      </c>
      <c r="AZ25" s="687" t="s">
        <v>291</v>
      </c>
      <c r="BA25" s="687" t="s">
        <v>291</v>
      </c>
      <c r="BB25" s="689">
        <f t="shared" si="15"/>
        <v>0</v>
      </c>
      <c r="BC25" s="688">
        <v>0.65</v>
      </c>
      <c r="BD25" s="1425"/>
      <c r="BE25" s="779">
        <v>200</v>
      </c>
      <c r="BF25" s="688">
        <f>199.61-BE25</f>
        <v>-0.38999999999998636</v>
      </c>
      <c r="BG25" s="687" t="s">
        <v>291</v>
      </c>
      <c r="BH25" s="687" t="s">
        <v>291</v>
      </c>
      <c r="BI25" s="689">
        <f t="shared" si="16"/>
        <v>0</v>
      </c>
      <c r="BJ25" s="688">
        <v>0.74</v>
      </c>
    </row>
    <row r="26" spans="1:62" ht="12.75" customHeight="1" x14ac:dyDescent="0.2">
      <c r="A26" s="500">
        <v>250</v>
      </c>
      <c r="B26" s="656">
        <v>7.0000000000000007E-2</v>
      </c>
      <c r="C26" s="656">
        <v>0.08</v>
      </c>
      <c r="D26" s="657" t="s">
        <v>291</v>
      </c>
      <c r="E26" s="658">
        <f t="shared" si="9"/>
        <v>4.9999999999999975E-3</v>
      </c>
      <c r="F26" s="656">
        <v>0.41</v>
      </c>
      <c r="G26" s="1548"/>
      <c r="H26" s="500">
        <v>250</v>
      </c>
      <c r="I26" s="656">
        <v>0.03</v>
      </c>
      <c r="J26" s="656">
        <v>0.06</v>
      </c>
      <c r="K26" s="657" t="s">
        <v>291</v>
      </c>
      <c r="L26" s="658">
        <f t="shared" si="10"/>
        <v>1.4999999999999999E-2</v>
      </c>
      <c r="M26" s="656">
        <v>0.28999999999999998</v>
      </c>
      <c r="O26" s="1572"/>
      <c r="P26" s="1572"/>
      <c r="Q26" s="1572"/>
      <c r="R26" s="1572"/>
      <c r="S26" s="1572"/>
      <c r="T26" s="1572"/>
      <c r="V26" s="777">
        <v>250</v>
      </c>
      <c r="W26" s="665">
        <f>-V26+250.06</f>
        <v>6.0000000000002274E-2</v>
      </c>
      <c r="X26" s="665">
        <v>0.01</v>
      </c>
      <c r="Y26" s="664">
        <v>0.52</v>
      </c>
      <c r="Z26" s="666">
        <f t="shared" si="11"/>
        <v>0.255</v>
      </c>
      <c r="AA26" s="665">
        <v>0.33</v>
      </c>
      <c r="AB26" s="1549"/>
      <c r="AC26" s="777">
        <v>250</v>
      </c>
      <c r="AD26" s="665">
        <f>-AC26+250.01</f>
        <v>9.9999999999909051E-3</v>
      </c>
      <c r="AE26" s="665">
        <v>0.01</v>
      </c>
      <c r="AF26" s="664">
        <v>0.52</v>
      </c>
      <c r="AG26" s="666">
        <f t="shared" si="12"/>
        <v>0.25500000000000456</v>
      </c>
      <c r="AH26" s="665">
        <v>0.14000000000000001</v>
      </c>
      <c r="AJ26" s="778">
        <v>250</v>
      </c>
      <c r="AK26" s="682">
        <f>-AJ26+249.59</f>
        <v>-0.40999999999999659</v>
      </c>
      <c r="AL26" s="682">
        <v>0.01</v>
      </c>
      <c r="AM26" s="680" t="s">
        <v>291</v>
      </c>
      <c r="AN26" s="681">
        <f t="shared" si="13"/>
        <v>0.2099999999999983</v>
      </c>
      <c r="AO26" s="682">
        <v>0.54</v>
      </c>
      <c r="AP26" s="1519"/>
      <c r="AQ26" s="778">
        <v>250</v>
      </c>
      <c r="AR26" s="682">
        <f>-AQ26+250.01</f>
        <v>9.9999999999909051E-3</v>
      </c>
      <c r="AS26" s="682">
        <v>0.05</v>
      </c>
      <c r="AT26" s="680" t="s">
        <v>291</v>
      </c>
      <c r="AU26" s="681">
        <f t="shared" si="14"/>
        <v>2.0000000000004549E-2</v>
      </c>
      <c r="AV26" s="682">
        <v>0.27</v>
      </c>
      <c r="AX26" s="779">
        <v>250</v>
      </c>
      <c r="AY26" s="688">
        <f>249.53-AX26</f>
        <v>-0.46999999999999886</v>
      </c>
      <c r="AZ26" s="687" t="s">
        <v>291</v>
      </c>
      <c r="BA26" s="687" t="s">
        <v>291</v>
      </c>
      <c r="BB26" s="689">
        <f t="shared" si="15"/>
        <v>0</v>
      </c>
      <c r="BC26" s="688">
        <v>0.65</v>
      </c>
      <c r="BD26" s="1425"/>
      <c r="BE26" s="779">
        <v>250</v>
      </c>
      <c r="BF26" s="688">
        <f>249.59-BE26</f>
        <v>-0.40999999999999659</v>
      </c>
      <c r="BG26" s="687" t="s">
        <v>291</v>
      </c>
      <c r="BH26" s="687" t="s">
        <v>291</v>
      </c>
      <c r="BI26" s="689">
        <f t="shared" si="16"/>
        <v>0</v>
      </c>
      <c r="BJ26" s="688">
        <v>0.74</v>
      </c>
    </row>
    <row r="27" spans="1:62" ht="12.75" customHeight="1" x14ac:dyDescent="0.2">
      <c r="A27" s="500">
        <v>300</v>
      </c>
      <c r="B27" s="656">
        <v>7.0000000000000007E-2</v>
      </c>
      <c r="C27" s="656">
        <v>0.09</v>
      </c>
      <c r="D27" s="657" t="s">
        <v>291</v>
      </c>
      <c r="E27" s="658">
        <f t="shared" si="9"/>
        <v>9.999999999999995E-3</v>
      </c>
      <c r="F27" s="656">
        <v>0.41</v>
      </c>
      <c r="G27" s="1548"/>
      <c r="H27" s="500">
        <v>300</v>
      </c>
      <c r="I27" s="656">
        <v>0.06</v>
      </c>
      <c r="J27" s="656">
        <v>0.11</v>
      </c>
      <c r="K27" s="657" t="s">
        <v>291</v>
      </c>
      <c r="L27" s="658">
        <f t="shared" si="10"/>
        <v>2.5000000000000001E-2</v>
      </c>
      <c r="M27" s="656">
        <v>0.28999999999999998</v>
      </c>
      <c r="O27" s="1572"/>
      <c r="P27" s="1572"/>
      <c r="Q27" s="1572"/>
      <c r="R27" s="1572"/>
      <c r="S27" s="1572"/>
      <c r="T27" s="1572"/>
      <c r="V27" s="777">
        <v>300</v>
      </c>
      <c r="W27" s="665">
        <f>-V27+300.04</f>
        <v>4.0000000000020464E-2</v>
      </c>
      <c r="X27" s="665">
        <v>0.01</v>
      </c>
      <c r="Y27" s="664">
        <v>0.5</v>
      </c>
      <c r="Z27" s="666">
        <f t="shared" si="11"/>
        <v>0.245</v>
      </c>
      <c r="AA27" s="665">
        <v>0.33</v>
      </c>
      <c r="AB27" s="1549"/>
      <c r="AC27" s="777">
        <v>300</v>
      </c>
      <c r="AD27" s="665">
        <f>-AC27+300.01</f>
        <v>9.9999999999909051E-3</v>
      </c>
      <c r="AE27" s="665">
        <v>0.01</v>
      </c>
      <c r="AF27" s="664">
        <v>0.61</v>
      </c>
      <c r="AG27" s="666">
        <f t="shared" si="12"/>
        <v>0.30000000000000454</v>
      </c>
      <c r="AH27" s="665">
        <v>0.14000000000000001</v>
      </c>
      <c r="AJ27" s="778">
        <v>300</v>
      </c>
      <c r="AK27" s="682">
        <f>-AJ27+299.53</f>
        <v>-0.47000000000002728</v>
      </c>
      <c r="AL27" s="682">
        <v>0.03</v>
      </c>
      <c r="AM27" s="680" t="s">
        <v>291</v>
      </c>
      <c r="AN27" s="681">
        <f t="shared" si="13"/>
        <v>0.25000000000001366</v>
      </c>
      <c r="AO27" s="682">
        <v>0.54</v>
      </c>
      <c r="AP27" s="1519"/>
      <c r="AQ27" s="778">
        <v>300</v>
      </c>
      <c r="AR27" s="682">
        <f>-AQ27+300.03</f>
        <v>2.9999999999972715E-2</v>
      </c>
      <c r="AS27" s="682">
        <v>0.06</v>
      </c>
      <c r="AT27" s="680" t="s">
        <v>291</v>
      </c>
      <c r="AU27" s="681">
        <f t="shared" si="14"/>
        <v>1.5000000000013641E-2</v>
      </c>
      <c r="AV27" s="682">
        <v>0.27</v>
      </c>
      <c r="AX27" s="779">
        <v>300</v>
      </c>
      <c r="AY27" s="688">
        <f>299.58-AX27</f>
        <v>-0.42000000000001592</v>
      </c>
      <c r="AZ27" s="687" t="s">
        <v>291</v>
      </c>
      <c r="BA27" s="687" t="s">
        <v>291</v>
      </c>
      <c r="BB27" s="689">
        <f t="shared" si="15"/>
        <v>0</v>
      </c>
      <c r="BC27" s="688">
        <v>0.65</v>
      </c>
      <c r="BD27" s="1425"/>
      <c r="BE27" s="779">
        <v>300</v>
      </c>
      <c r="BF27" s="688">
        <f>299.57-BE27</f>
        <v>-0.43000000000000682</v>
      </c>
      <c r="BG27" s="687" t="s">
        <v>291</v>
      </c>
      <c r="BH27" s="687" t="s">
        <v>291</v>
      </c>
      <c r="BI27" s="689">
        <f t="shared" si="16"/>
        <v>0</v>
      </c>
      <c r="BJ27" s="688">
        <v>0.74</v>
      </c>
    </row>
    <row r="28" spans="1:62" ht="12.75" customHeight="1" x14ac:dyDescent="0.2">
      <c r="A28" s="500">
        <v>500</v>
      </c>
      <c r="B28" s="656">
        <v>0.04</v>
      </c>
      <c r="C28" s="656">
        <v>0.12</v>
      </c>
      <c r="D28" s="657" t="s">
        <v>291</v>
      </c>
      <c r="E28" s="658">
        <f t="shared" si="9"/>
        <v>3.9999999999999994E-2</v>
      </c>
      <c r="F28" s="656">
        <v>0.41</v>
      </c>
      <c r="G28" s="1548"/>
      <c r="H28" s="500">
        <v>500</v>
      </c>
      <c r="I28" s="656">
        <v>0.15</v>
      </c>
      <c r="J28" s="656">
        <v>0.31</v>
      </c>
      <c r="K28" s="657" t="s">
        <v>291</v>
      </c>
      <c r="L28" s="658">
        <f t="shared" si="10"/>
        <v>0.08</v>
      </c>
      <c r="M28" s="656">
        <v>0.28999999999999998</v>
      </c>
      <c r="O28" s="1572"/>
      <c r="P28" s="1572"/>
      <c r="Q28" s="1572"/>
      <c r="R28" s="1572"/>
      <c r="S28" s="1572"/>
      <c r="T28" s="1572"/>
      <c r="V28" s="777">
        <v>500</v>
      </c>
      <c r="W28" s="665">
        <f>-V28+499.96</f>
        <v>-4.0000000000020464E-2</v>
      </c>
      <c r="X28" s="665">
        <v>0.01</v>
      </c>
      <c r="Y28" s="664">
        <v>9.9999999999999995E-7</v>
      </c>
      <c r="Z28" s="666">
        <f t="shared" si="11"/>
        <v>2.5000000000010233E-2</v>
      </c>
      <c r="AA28" s="665">
        <v>0.33</v>
      </c>
      <c r="AB28" s="1549"/>
      <c r="AC28" s="777">
        <v>500</v>
      </c>
      <c r="AD28" s="665">
        <f>-AC28+500.01</f>
        <v>9.9999999999909051E-3</v>
      </c>
      <c r="AE28" s="665">
        <v>0.01</v>
      </c>
      <c r="AF28" s="664">
        <v>9.9999999999999995E-7</v>
      </c>
      <c r="AG28" s="666">
        <f t="shared" si="12"/>
        <v>4.9995000000000005E-3</v>
      </c>
      <c r="AH28" s="665">
        <v>0.14000000000000001</v>
      </c>
      <c r="AJ28" s="778">
        <v>500</v>
      </c>
      <c r="AK28" s="682">
        <f>-AJ28+499.26</f>
        <v>-0.74000000000000909</v>
      </c>
      <c r="AL28" s="682">
        <v>0.08</v>
      </c>
      <c r="AM28" s="680" t="s">
        <v>291</v>
      </c>
      <c r="AN28" s="681">
        <f t="shared" si="13"/>
        <v>0.41000000000000453</v>
      </c>
      <c r="AO28" s="682">
        <v>0.54</v>
      </c>
      <c r="AP28" s="1519"/>
      <c r="AQ28" s="778">
        <v>500</v>
      </c>
      <c r="AR28" s="682">
        <f>-AQ28+500.11</f>
        <v>0.11000000000001364</v>
      </c>
      <c r="AS28" s="682">
        <v>0.12</v>
      </c>
      <c r="AT28" s="680" t="s">
        <v>291</v>
      </c>
      <c r="AU28" s="681">
        <f t="shared" si="14"/>
        <v>4.9999999999931766E-3</v>
      </c>
      <c r="AV28" s="682">
        <v>0.27</v>
      </c>
      <c r="AX28" s="779">
        <v>500</v>
      </c>
      <c r="AY28" s="688">
        <f>499.82-AX28</f>
        <v>-0.18000000000000682</v>
      </c>
      <c r="AZ28" s="687" t="s">
        <v>291</v>
      </c>
      <c r="BA28" s="687" t="s">
        <v>291</v>
      </c>
      <c r="BB28" s="689">
        <f t="shared" si="15"/>
        <v>0</v>
      </c>
      <c r="BC28" s="688">
        <v>0.65</v>
      </c>
      <c r="BD28" s="1425"/>
      <c r="BE28" s="779">
        <v>500</v>
      </c>
      <c r="BF28" s="688">
        <f>499.49-BE28</f>
        <v>-0.50999999999999091</v>
      </c>
      <c r="BG28" s="687" t="s">
        <v>291</v>
      </c>
      <c r="BH28" s="687" t="s">
        <v>291</v>
      </c>
      <c r="BI28" s="689">
        <f t="shared" si="16"/>
        <v>0</v>
      </c>
      <c r="BJ28" s="688">
        <v>0.74</v>
      </c>
    </row>
    <row r="29" spans="1:62" ht="12.75" customHeight="1" x14ac:dyDescent="0.2">
      <c r="A29" s="500">
        <v>600</v>
      </c>
      <c r="B29" s="656">
        <v>0.04</v>
      </c>
      <c r="C29" s="656">
        <v>0.12</v>
      </c>
      <c r="D29" s="657" t="s">
        <v>291</v>
      </c>
      <c r="E29" s="658">
        <f t="shared" si="9"/>
        <v>3.9999999999999994E-2</v>
      </c>
      <c r="F29" s="656">
        <v>0.41</v>
      </c>
      <c r="G29" s="1548"/>
      <c r="H29" s="500">
        <v>600</v>
      </c>
      <c r="I29" s="656">
        <v>0.15</v>
      </c>
      <c r="J29" s="656">
        <v>0.31</v>
      </c>
      <c r="K29" s="657" t="s">
        <v>291</v>
      </c>
      <c r="L29" s="658">
        <f t="shared" si="10"/>
        <v>0.08</v>
      </c>
      <c r="M29" s="656">
        <v>0.28999999999999998</v>
      </c>
      <c r="O29" s="1572"/>
      <c r="P29" s="1572"/>
      <c r="Q29" s="1572"/>
      <c r="R29" s="1572"/>
      <c r="S29" s="1572"/>
      <c r="T29" s="1572"/>
      <c r="V29" s="777">
        <v>600</v>
      </c>
      <c r="W29" s="665">
        <f>-V29+599.92</f>
        <v>-8.0000000000040927E-2</v>
      </c>
      <c r="X29" s="665">
        <v>0.01</v>
      </c>
      <c r="Y29" s="664">
        <v>9.9999999999999995E-7</v>
      </c>
      <c r="Z29" s="666">
        <f t="shared" si="11"/>
        <v>4.5000000000020461E-2</v>
      </c>
      <c r="AA29" s="665">
        <v>0.33</v>
      </c>
      <c r="AB29" s="1549"/>
      <c r="AC29" s="777">
        <v>600</v>
      </c>
      <c r="AD29" s="665">
        <f>-AC29+600.01</f>
        <v>9.9999999999909051E-3</v>
      </c>
      <c r="AE29" s="665">
        <v>0.01</v>
      </c>
      <c r="AF29" s="664">
        <v>9.9999999999999995E-7</v>
      </c>
      <c r="AG29" s="666">
        <f t="shared" si="12"/>
        <v>4.9995000000000005E-3</v>
      </c>
      <c r="AH29" s="665">
        <v>0.14000000000000001</v>
      </c>
      <c r="AJ29" s="778">
        <v>600</v>
      </c>
      <c r="AK29" s="682">
        <f>-AJ29+599.12</f>
        <v>-0.87999999999999545</v>
      </c>
      <c r="AL29" s="682">
        <v>0.08</v>
      </c>
      <c r="AM29" s="680" t="s">
        <v>291</v>
      </c>
      <c r="AN29" s="681">
        <f t="shared" si="13"/>
        <v>0.47999999999999771</v>
      </c>
      <c r="AO29" s="682">
        <v>0.54</v>
      </c>
      <c r="AP29" s="1520"/>
      <c r="AQ29" s="778">
        <v>600</v>
      </c>
      <c r="AR29" s="682">
        <f>-AQ29+600.15</f>
        <v>0.14999999999997726</v>
      </c>
      <c r="AS29" s="682">
        <v>0.12</v>
      </c>
      <c r="AT29" s="680" t="s">
        <v>291</v>
      </c>
      <c r="AU29" s="681">
        <f t="shared" si="14"/>
        <v>1.4999999999988634E-2</v>
      </c>
      <c r="AV29" s="682">
        <v>0.27</v>
      </c>
      <c r="AX29" s="779">
        <v>600</v>
      </c>
      <c r="AY29" s="688">
        <f>599.93-AX29</f>
        <v>-7.0000000000050022E-2</v>
      </c>
      <c r="AZ29" s="687" t="s">
        <v>291</v>
      </c>
      <c r="BA29" s="687" t="s">
        <v>291</v>
      </c>
      <c r="BB29" s="689">
        <f t="shared" si="15"/>
        <v>0</v>
      </c>
      <c r="BC29" s="688">
        <v>0.65</v>
      </c>
      <c r="BD29" s="1426"/>
      <c r="BE29" s="779">
        <v>600</v>
      </c>
      <c r="BF29" s="688">
        <f>599.45-BE29</f>
        <v>-0.54999999999995453</v>
      </c>
      <c r="BG29" s="687" t="s">
        <v>291</v>
      </c>
      <c r="BH29" s="687" t="s">
        <v>291</v>
      </c>
      <c r="BI29" s="689">
        <f t="shared" si="16"/>
        <v>0</v>
      </c>
      <c r="BJ29" s="688">
        <v>0.74</v>
      </c>
    </row>
    <row r="30" spans="1:62" ht="12.95" customHeight="1" x14ac:dyDescent="0.2">
      <c r="A30" s="1531"/>
      <c r="B30" s="1531"/>
      <c r="C30" s="1531"/>
      <c r="D30" s="1531"/>
      <c r="E30" s="1531"/>
      <c r="F30" s="1531"/>
      <c r="G30" s="1531"/>
      <c r="H30" s="1531"/>
      <c r="I30" s="1531"/>
      <c r="J30" s="1531"/>
      <c r="K30" s="1531"/>
      <c r="L30" s="1531"/>
      <c r="M30" s="1531"/>
      <c r="O30" s="1572"/>
      <c r="P30" s="1572"/>
      <c r="Q30" s="1572"/>
      <c r="R30" s="1572"/>
      <c r="S30" s="1572"/>
      <c r="T30" s="1572"/>
      <c r="V30" s="1556"/>
      <c r="W30" s="1556"/>
      <c r="X30" s="1556"/>
      <c r="Y30" s="1556"/>
      <c r="Z30" s="1556"/>
      <c r="AA30" s="1556"/>
      <c r="AB30" s="1556"/>
      <c r="AC30" s="1556"/>
      <c r="AD30" s="1556"/>
      <c r="AE30" s="1556"/>
      <c r="AF30" s="1556"/>
      <c r="AG30" s="1556"/>
      <c r="AH30" s="1556"/>
      <c r="AJ30" s="1528"/>
      <c r="AK30" s="1528"/>
      <c r="AL30" s="1528"/>
      <c r="AM30" s="1528"/>
      <c r="AN30" s="1528"/>
      <c r="AO30" s="1528"/>
      <c r="AP30" s="1528"/>
      <c r="AQ30" s="1528"/>
      <c r="AR30" s="1528"/>
      <c r="AS30" s="1528"/>
      <c r="AT30" s="1528"/>
      <c r="AU30" s="1528"/>
      <c r="AV30" s="1528"/>
      <c r="AX30" s="1423"/>
      <c r="AY30" s="1423"/>
      <c r="AZ30" s="1423"/>
      <c r="BA30" s="1423"/>
      <c r="BB30" s="1423"/>
      <c r="BC30" s="1423"/>
      <c r="BD30" s="1423"/>
      <c r="BE30" s="1423"/>
      <c r="BF30" s="1423"/>
      <c r="BG30" s="1423"/>
      <c r="BH30" s="1423"/>
      <c r="BI30" s="1423"/>
      <c r="BJ30" s="1423"/>
    </row>
    <row r="31" spans="1:62" ht="12.6" customHeight="1" x14ac:dyDescent="0.2">
      <c r="A31" s="786"/>
      <c r="B31" s="787"/>
      <c r="C31" s="787"/>
      <c r="D31" s="787"/>
      <c r="E31" s="787"/>
      <c r="F31" s="787"/>
      <c r="G31" s="787"/>
      <c r="H31" s="787"/>
      <c r="I31" s="787"/>
      <c r="J31" s="787"/>
      <c r="K31" s="787"/>
      <c r="L31" s="788"/>
      <c r="M31" s="789"/>
      <c r="O31" s="1572"/>
      <c r="P31" s="1572"/>
      <c r="Q31" s="1572"/>
      <c r="R31" s="1572"/>
      <c r="S31" s="1572"/>
      <c r="T31" s="1572"/>
      <c r="V31" s="790"/>
      <c r="W31" s="791"/>
      <c r="X31" s="791"/>
      <c r="Y31" s="791"/>
      <c r="Z31" s="791"/>
      <c r="AA31" s="791"/>
      <c r="AB31" s="791"/>
      <c r="AC31" s="791"/>
      <c r="AD31" s="791"/>
      <c r="AE31" s="791"/>
      <c r="AF31" s="792"/>
      <c r="AG31" s="793"/>
      <c r="AH31" s="793"/>
      <c r="AJ31" s="794"/>
      <c r="AK31" s="456"/>
      <c r="AL31" s="456"/>
      <c r="AM31" s="456"/>
      <c r="AN31" s="456"/>
      <c r="AO31" s="456"/>
      <c r="AP31" s="456"/>
      <c r="AQ31" s="456"/>
      <c r="AR31" s="456"/>
      <c r="AS31" s="456"/>
      <c r="AT31" s="795"/>
      <c r="AX31" s="794"/>
      <c r="AY31" s="456"/>
      <c r="AZ31" s="456"/>
      <c r="BA31" s="456"/>
      <c r="BB31" s="456"/>
      <c r="BC31" s="456"/>
      <c r="BD31" s="456"/>
      <c r="BE31" s="456"/>
      <c r="BF31" s="456"/>
      <c r="BG31" s="456"/>
      <c r="BH31" s="795"/>
    </row>
    <row r="32" spans="1:62" ht="15.75" x14ac:dyDescent="0.2">
      <c r="A32" s="1532" t="s">
        <v>398</v>
      </c>
      <c r="B32" s="1532"/>
      <c r="C32" s="1532"/>
      <c r="D32" s="1532"/>
      <c r="E32" s="1532"/>
      <c r="F32" s="1532"/>
      <c r="G32" s="1532"/>
      <c r="H32" s="1532"/>
      <c r="I32" s="1532"/>
      <c r="J32" s="1532"/>
      <c r="K32" s="1532"/>
      <c r="L32" s="1532"/>
      <c r="M32" s="1532"/>
      <c r="O32" s="1571" t="s">
        <v>399</v>
      </c>
      <c r="P32" s="1571"/>
      <c r="Q32" s="1571"/>
      <c r="R32" s="1571"/>
      <c r="S32" s="1571"/>
      <c r="T32" s="1571"/>
      <c r="V32" s="1557" t="s">
        <v>400</v>
      </c>
      <c r="W32" s="1557"/>
      <c r="X32" s="1557"/>
      <c r="Y32" s="1557"/>
      <c r="Z32" s="1557"/>
      <c r="AA32" s="1557"/>
      <c r="AB32" s="1557"/>
      <c r="AC32" s="1557"/>
      <c r="AD32" s="1557"/>
      <c r="AE32" s="1557"/>
      <c r="AF32" s="1557"/>
      <c r="AG32" s="1557"/>
      <c r="AH32" s="1557"/>
      <c r="AJ32" s="1513" t="s">
        <v>401</v>
      </c>
      <c r="AK32" s="1513"/>
      <c r="AL32" s="1513"/>
      <c r="AM32" s="1513"/>
      <c r="AN32" s="1513"/>
      <c r="AO32" s="1513"/>
      <c r="AP32" s="1513"/>
      <c r="AQ32" s="1513"/>
      <c r="AR32" s="1513"/>
      <c r="AS32" s="1513"/>
      <c r="AT32" s="1513"/>
      <c r="AU32" s="1513"/>
      <c r="AV32" s="1513"/>
      <c r="AX32" s="1516" t="s">
        <v>402</v>
      </c>
      <c r="AY32" s="1516"/>
      <c r="AZ32" s="1516"/>
      <c r="BA32" s="1516"/>
      <c r="BB32" s="1516"/>
      <c r="BC32" s="1516"/>
      <c r="BD32" s="1516"/>
      <c r="BE32" s="1516"/>
      <c r="BF32" s="1516"/>
      <c r="BG32" s="1516"/>
      <c r="BH32" s="1516"/>
      <c r="BI32" s="785"/>
      <c r="BJ32" s="785"/>
    </row>
    <row r="33" spans="1:62" ht="15.75" customHeight="1" x14ac:dyDescent="0.2">
      <c r="A33" s="1524" t="str">
        <f>A3</f>
        <v>Channel 1</v>
      </c>
      <c r="B33" s="1524"/>
      <c r="C33" s="1524"/>
      <c r="D33" s="1524"/>
      <c r="E33" s="1525" t="s">
        <v>287</v>
      </c>
      <c r="F33" s="1523" t="s">
        <v>391</v>
      </c>
      <c r="G33" s="1548">
        <v>1</v>
      </c>
      <c r="H33" s="1524" t="str">
        <f>H3</f>
        <v>Channel 3</v>
      </c>
      <c r="I33" s="1524"/>
      <c r="J33" s="1524"/>
      <c r="K33" s="1524"/>
      <c r="L33" s="1525" t="s">
        <v>287</v>
      </c>
      <c r="M33" s="1523" t="s">
        <v>393</v>
      </c>
      <c r="O33" s="1573" t="str">
        <f>O3</f>
        <v>Single Channel</v>
      </c>
      <c r="P33" s="1573"/>
      <c r="Q33" s="1573"/>
      <c r="R33" s="1573"/>
      <c r="S33" s="1552" t="s">
        <v>287</v>
      </c>
      <c r="T33" s="1553" t="s">
        <v>393</v>
      </c>
      <c r="V33" s="1341" t="str">
        <f>V3</f>
        <v>Channel 1</v>
      </c>
      <c r="W33" s="1341"/>
      <c r="X33" s="1341"/>
      <c r="Y33" s="1341"/>
      <c r="Z33" s="1340" t="s">
        <v>287</v>
      </c>
      <c r="AA33" s="1522" t="s">
        <v>393</v>
      </c>
      <c r="AB33" s="1549">
        <v>3</v>
      </c>
      <c r="AC33" s="1341" t="str">
        <f>AC3</f>
        <v>Channel 3</v>
      </c>
      <c r="AD33" s="1341"/>
      <c r="AE33" s="1341"/>
      <c r="AF33" s="1341"/>
      <c r="AG33" s="1340" t="s">
        <v>287</v>
      </c>
      <c r="AH33" s="1522" t="s">
        <v>393</v>
      </c>
      <c r="AJ33" s="1512" t="str">
        <f>AJ3</f>
        <v>Channel 1</v>
      </c>
      <c r="AK33" s="1512"/>
      <c r="AL33" s="1512"/>
      <c r="AM33" s="1512"/>
      <c r="AN33" s="1507" t="s">
        <v>287</v>
      </c>
      <c r="AO33" s="1508" t="s">
        <v>393</v>
      </c>
      <c r="AP33" s="1509">
        <v>7</v>
      </c>
      <c r="AQ33" s="1512" t="str">
        <f>AQ3</f>
        <v>Channel 3</v>
      </c>
      <c r="AR33" s="1512"/>
      <c r="AS33" s="1512"/>
      <c r="AT33" s="1512"/>
      <c r="AU33" s="1507" t="s">
        <v>287</v>
      </c>
      <c r="AV33" s="1508" t="s">
        <v>393</v>
      </c>
      <c r="AX33" s="1422" t="str">
        <f>AX3</f>
        <v>Channel 1</v>
      </c>
      <c r="AY33" s="1422"/>
      <c r="AZ33" s="1422"/>
      <c r="BA33" s="1422"/>
      <c r="BB33" s="1421" t="s">
        <v>287</v>
      </c>
      <c r="BC33" s="1505" t="s">
        <v>393</v>
      </c>
      <c r="BD33" s="1514">
        <v>9</v>
      </c>
      <c r="BE33" s="1422" t="str">
        <f>BE3</f>
        <v>Channel 3</v>
      </c>
      <c r="BF33" s="1422"/>
      <c r="BG33" s="1422"/>
      <c r="BH33" s="1422"/>
      <c r="BI33" s="1421" t="s">
        <v>287</v>
      </c>
      <c r="BJ33" s="1505" t="s">
        <v>393</v>
      </c>
    </row>
    <row r="34" spans="1:62" ht="12.95" customHeight="1" x14ac:dyDescent="0.2">
      <c r="A34" s="759" t="s">
        <v>403</v>
      </c>
      <c r="B34" s="1525" t="s">
        <v>286</v>
      </c>
      <c r="C34" s="1525"/>
      <c r="D34" s="1525"/>
      <c r="E34" s="1525"/>
      <c r="F34" s="1523"/>
      <c r="G34" s="1548"/>
      <c r="H34" s="759" t="s">
        <v>403</v>
      </c>
      <c r="I34" s="1525" t="s">
        <v>286</v>
      </c>
      <c r="J34" s="1525"/>
      <c r="K34" s="1525"/>
      <c r="L34" s="1525"/>
      <c r="M34" s="1523"/>
      <c r="O34" s="760" t="s">
        <v>403</v>
      </c>
      <c r="P34" s="1552" t="s">
        <v>286</v>
      </c>
      <c r="Q34" s="1552"/>
      <c r="R34" s="1552"/>
      <c r="S34" s="1552"/>
      <c r="T34" s="1553"/>
      <c r="V34" s="761" t="s">
        <v>403</v>
      </c>
      <c r="W34" s="1340" t="s">
        <v>286</v>
      </c>
      <c r="X34" s="1340"/>
      <c r="Y34" s="1340"/>
      <c r="Z34" s="1340"/>
      <c r="AA34" s="1522"/>
      <c r="AB34" s="1549"/>
      <c r="AC34" s="761" t="s">
        <v>403</v>
      </c>
      <c r="AD34" s="1340" t="s">
        <v>286</v>
      </c>
      <c r="AE34" s="1340"/>
      <c r="AF34" s="1340"/>
      <c r="AG34" s="1340"/>
      <c r="AH34" s="1522"/>
      <c r="AJ34" s="762" t="s">
        <v>403</v>
      </c>
      <c r="AK34" s="1507" t="s">
        <v>286</v>
      </c>
      <c r="AL34" s="1507"/>
      <c r="AM34" s="1507"/>
      <c r="AN34" s="1507"/>
      <c r="AO34" s="1508"/>
      <c r="AP34" s="1509"/>
      <c r="AQ34" s="762" t="s">
        <v>403</v>
      </c>
      <c r="AR34" s="1507" t="s">
        <v>286</v>
      </c>
      <c r="AS34" s="1507"/>
      <c r="AT34" s="1507"/>
      <c r="AU34" s="1507"/>
      <c r="AV34" s="1508"/>
      <c r="AX34" s="763" t="s">
        <v>403</v>
      </c>
      <c r="AY34" s="1421" t="s">
        <v>286</v>
      </c>
      <c r="AZ34" s="1421"/>
      <c r="BA34" s="1421"/>
      <c r="BB34" s="1421"/>
      <c r="BC34" s="1505"/>
      <c r="BD34" s="1514"/>
      <c r="BE34" s="763" t="s">
        <v>403</v>
      </c>
      <c r="BF34" s="1421" t="s">
        <v>286</v>
      </c>
      <c r="BG34" s="1421"/>
      <c r="BH34" s="1421"/>
      <c r="BI34" s="1421"/>
      <c r="BJ34" s="1505"/>
    </row>
    <row r="35" spans="1:62" ht="14.1" customHeight="1" x14ac:dyDescent="0.2">
      <c r="A35" s="764" t="s">
        <v>404</v>
      </c>
      <c r="B35" s="765">
        <f>B5</f>
        <v>2021</v>
      </c>
      <c r="C35" s="765">
        <f>C5</f>
        <v>2019</v>
      </c>
      <c r="D35" s="765" t="str">
        <f>D5</f>
        <v>-</v>
      </c>
      <c r="E35" s="1525"/>
      <c r="F35" s="1523"/>
      <c r="G35" s="1548"/>
      <c r="H35" s="764" t="s">
        <v>404</v>
      </c>
      <c r="I35" s="765">
        <f>B35</f>
        <v>2021</v>
      </c>
      <c r="J35" s="765">
        <f>C35</f>
        <v>2019</v>
      </c>
      <c r="K35" s="765" t="str">
        <f>D35</f>
        <v>-</v>
      </c>
      <c r="L35" s="1525"/>
      <c r="M35" s="1523"/>
      <c r="O35" s="767" t="s">
        <v>404</v>
      </c>
      <c r="P35" s="768">
        <f>P5</f>
        <v>2022</v>
      </c>
      <c r="Q35" s="768">
        <f>Q5</f>
        <v>2019</v>
      </c>
      <c r="R35" s="768">
        <f>R5</f>
        <v>2018</v>
      </c>
      <c r="S35" s="1552"/>
      <c r="T35" s="1553"/>
      <c r="V35" s="725" t="s">
        <v>404</v>
      </c>
      <c r="W35" s="718">
        <f>W19</f>
        <v>2022</v>
      </c>
      <c r="X35" s="718">
        <f>X19</f>
        <v>2019</v>
      </c>
      <c r="Y35" s="718">
        <f>Y19</f>
        <v>2016</v>
      </c>
      <c r="Z35" s="1340"/>
      <c r="AA35" s="1522"/>
      <c r="AB35" s="1549"/>
      <c r="AC35" s="725" t="s">
        <v>404</v>
      </c>
      <c r="AD35" s="718">
        <f>W35</f>
        <v>2022</v>
      </c>
      <c r="AE35" s="718">
        <f>X35</f>
        <v>2019</v>
      </c>
      <c r="AF35" s="718">
        <f>Y35</f>
        <v>2016</v>
      </c>
      <c r="AG35" s="1340"/>
      <c r="AH35" s="1522"/>
      <c r="AJ35" s="770" t="s">
        <v>404</v>
      </c>
      <c r="AK35" s="771">
        <f>AK19</f>
        <v>2022</v>
      </c>
      <c r="AL35" s="771">
        <f>AL19</f>
        <v>2021</v>
      </c>
      <c r="AM35" s="771" t="str">
        <f>AM19</f>
        <v>-</v>
      </c>
      <c r="AN35" s="1507"/>
      <c r="AO35" s="1508"/>
      <c r="AP35" s="1509"/>
      <c r="AQ35" s="770" t="s">
        <v>404</v>
      </c>
      <c r="AR35" s="771">
        <f>AK35</f>
        <v>2022</v>
      </c>
      <c r="AS35" s="771">
        <f>AL35</f>
        <v>2021</v>
      </c>
      <c r="AT35" s="771" t="str">
        <f>AM35</f>
        <v>-</v>
      </c>
      <c r="AU35" s="1507"/>
      <c r="AV35" s="1508"/>
      <c r="AX35" s="773" t="s">
        <v>404</v>
      </c>
      <c r="AY35" s="774">
        <f>AY19</f>
        <v>2022</v>
      </c>
      <c r="AZ35" s="774" t="str">
        <f>AZ19</f>
        <v>-</v>
      </c>
      <c r="BA35" s="774" t="str">
        <f>BA19</f>
        <v>-</v>
      </c>
      <c r="BB35" s="1421"/>
      <c r="BC35" s="1505"/>
      <c r="BD35" s="1514"/>
      <c r="BE35" s="773" t="s">
        <v>404</v>
      </c>
      <c r="BF35" s="774">
        <f>AY35</f>
        <v>2022</v>
      </c>
      <c r="BG35" s="774" t="str">
        <f>AZ35</f>
        <v>-</v>
      </c>
      <c r="BH35" s="774" t="str">
        <f>BA35</f>
        <v>-</v>
      </c>
      <c r="BI35" s="1421"/>
      <c r="BJ35" s="1505"/>
    </row>
    <row r="36" spans="1:62" ht="12.6" customHeight="1" x14ac:dyDescent="0.2">
      <c r="A36" s="500">
        <v>5</v>
      </c>
      <c r="B36" s="656">
        <v>-0.05</v>
      </c>
      <c r="C36" s="656">
        <v>-0.03</v>
      </c>
      <c r="D36" s="657" t="s">
        <v>291</v>
      </c>
      <c r="E36" s="658">
        <f>0.5*(MAX(B36:D36)-MIN(B36:D36))</f>
        <v>1.0000000000000002E-2</v>
      </c>
      <c r="F36" s="656">
        <v>0.02</v>
      </c>
      <c r="G36" s="1548"/>
      <c r="H36" s="500">
        <v>5</v>
      </c>
      <c r="I36" s="656">
        <v>0.01</v>
      </c>
      <c r="J36" s="656">
        <v>-0.02</v>
      </c>
      <c r="K36" s="657" t="s">
        <v>291</v>
      </c>
      <c r="L36" s="658">
        <f>0.5*(MAX(I36:K36)-MIN(I36:K36))</f>
        <v>1.4999999999999999E-2</v>
      </c>
      <c r="M36" s="656">
        <v>0.02</v>
      </c>
      <c r="O36" s="776">
        <v>5</v>
      </c>
      <c r="P36" s="659">
        <v>-0.09</v>
      </c>
      <c r="Q36" s="659">
        <v>0.01</v>
      </c>
      <c r="R36" s="659">
        <v>9.9999999999999995E-7</v>
      </c>
      <c r="S36" s="660">
        <f>0.5*(MAX(P36:R36)-MIN(P36:R36))</f>
        <v>4.9999999999999996E-2</v>
      </c>
      <c r="T36" s="659">
        <v>0.05</v>
      </c>
      <c r="V36" s="777">
        <v>9.9999999999999995E-7</v>
      </c>
      <c r="W36" s="665">
        <v>9.9999999999999995E-7</v>
      </c>
      <c r="X36" s="665">
        <v>9.9999999999999995E-7</v>
      </c>
      <c r="Y36" s="665">
        <v>9.9999999999999995E-7</v>
      </c>
      <c r="Z36" s="665">
        <v>9.9999999999999995E-7</v>
      </c>
      <c r="AA36" s="665">
        <v>0.05</v>
      </c>
      <c r="AB36" s="1549"/>
      <c r="AC36" s="777">
        <v>9.9999999999999995E-7</v>
      </c>
      <c r="AD36" s="665">
        <v>9.9999999999999995E-7</v>
      </c>
      <c r="AE36" s="665">
        <v>9.9999999999999995E-7</v>
      </c>
      <c r="AF36" s="665">
        <v>9.9999999999999995E-7</v>
      </c>
      <c r="AG36" s="665">
        <v>9.9999999999999995E-7</v>
      </c>
      <c r="AH36" s="665">
        <v>0.05</v>
      </c>
      <c r="AJ36" s="778">
        <v>9.9999999999999995E-7</v>
      </c>
      <c r="AK36" s="682">
        <v>9.9999999999999995E-7</v>
      </c>
      <c r="AL36" s="682">
        <v>9.9999999999999995E-7</v>
      </c>
      <c r="AM36" s="680" t="s">
        <v>291</v>
      </c>
      <c r="AN36" s="682">
        <v>9.9999999999999995E-7</v>
      </c>
      <c r="AO36" s="682">
        <v>0.05</v>
      </c>
      <c r="AP36" s="1509"/>
      <c r="AQ36" s="778">
        <v>9.9999999999999995E-7</v>
      </c>
      <c r="AR36" s="682">
        <v>9.9999999999999995E-7</v>
      </c>
      <c r="AS36" s="682">
        <v>9.9999999999999995E-7</v>
      </c>
      <c r="AT36" s="680" t="s">
        <v>291</v>
      </c>
      <c r="AU36" s="682">
        <v>9.9999999999999995E-7</v>
      </c>
      <c r="AV36" s="682">
        <v>0.05</v>
      </c>
      <c r="AX36" s="779">
        <v>0</v>
      </c>
      <c r="AY36" s="688">
        <v>9.9999999999999995E-7</v>
      </c>
      <c r="AZ36" s="688" t="s">
        <v>291</v>
      </c>
      <c r="BA36" s="688" t="s">
        <v>291</v>
      </c>
      <c r="BB36" s="688">
        <v>9.9999999999999995E-7</v>
      </c>
      <c r="BC36" s="688">
        <v>0.05</v>
      </c>
      <c r="BD36" s="1514"/>
      <c r="BE36" s="779">
        <v>0</v>
      </c>
      <c r="BF36" s="688">
        <v>9.9999999999999995E-7</v>
      </c>
      <c r="BG36" s="688" t="s">
        <v>291</v>
      </c>
      <c r="BH36" s="688" t="s">
        <v>291</v>
      </c>
      <c r="BI36" s="688">
        <v>9.9999999999999995E-7</v>
      </c>
      <c r="BJ36" s="688">
        <v>0.06</v>
      </c>
    </row>
    <row r="37" spans="1:62" ht="12.6" customHeight="1" x14ac:dyDescent="0.2">
      <c r="A37" s="500">
        <v>10</v>
      </c>
      <c r="B37" s="656">
        <v>-0.05</v>
      </c>
      <c r="C37" s="657">
        <v>-0.04</v>
      </c>
      <c r="D37" s="657" t="s">
        <v>291</v>
      </c>
      <c r="E37" s="658">
        <f t="shared" ref="E37:E41" si="17">0.5*(MAX(B37:D37)-MIN(B37:D37))</f>
        <v>5.000000000000001E-3</v>
      </c>
      <c r="F37" s="656">
        <v>0.02</v>
      </c>
      <c r="G37" s="1548"/>
      <c r="H37" s="500">
        <v>10</v>
      </c>
      <c r="I37" s="656">
        <v>0.01</v>
      </c>
      <c r="J37" s="657">
        <v>-0.04</v>
      </c>
      <c r="K37" s="657" t="s">
        <v>291</v>
      </c>
      <c r="L37" s="658">
        <f t="shared" ref="L37:L41" si="18">0.5*(MAX(I37:K37)-MIN(I37:K37))</f>
        <v>2.5000000000000001E-2</v>
      </c>
      <c r="M37" s="656">
        <v>0.02</v>
      </c>
      <c r="O37" s="776">
        <v>10</v>
      </c>
      <c r="P37" s="659">
        <v>-7.0000000000000007E-2</v>
      </c>
      <c r="Q37" s="659">
        <v>-0.08</v>
      </c>
      <c r="R37" s="659">
        <v>-0.01</v>
      </c>
      <c r="S37" s="660">
        <f t="shared" ref="S37:S41" si="19">0.5*(MAX(P37:R37)-MIN(P37:R37))</f>
        <v>3.5000000000000003E-2</v>
      </c>
      <c r="T37" s="659">
        <v>0.05</v>
      </c>
      <c r="V37" s="777">
        <v>5</v>
      </c>
      <c r="W37" s="665">
        <v>-0.02</v>
      </c>
      <c r="X37" s="665">
        <v>-0.02</v>
      </c>
      <c r="Y37" s="664">
        <v>-0.02</v>
      </c>
      <c r="Z37" s="666">
        <f t="shared" ref="Z37:Z41" si="20">0.5*(MAX(W37:Y37)-MIN(W37:Y37))</f>
        <v>0</v>
      </c>
      <c r="AA37" s="665">
        <v>0.05</v>
      </c>
      <c r="AB37" s="1549"/>
      <c r="AC37" s="777">
        <v>5</v>
      </c>
      <c r="AD37" s="665">
        <v>-0.02</v>
      </c>
      <c r="AE37" s="665">
        <v>9.9999999999999995E-7</v>
      </c>
      <c r="AF37" s="664">
        <v>-0.02</v>
      </c>
      <c r="AG37" s="666">
        <f t="shared" ref="AG37:AG41" si="21">0.5*(MAX(AD37:AF37)-MIN(AD37:AF37))</f>
        <v>1.0000500000000001E-2</v>
      </c>
      <c r="AH37" s="665">
        <v>0.05</v>
      </c>
      <c r="AJ37" s="778">
        <v>5</v>
      </c>
      <c r="AK37" s="682">
        <v>0.02</v>
      </c>
      <c r="AL37" s="682">
        <v>-0.02</v>
      </c>
      <c r="AM37" s="680" t="s">
        <v>291</v>
      </c>
      <c r="AN37" s="681">
        <f t="shared" ref="AN37:AN41" si="22">0.5*(MAX(AK37:AM37)-MIN(AK37:AM37))</f>
        <v>0.02</v>
      </c>
      <c r="AO37" s="682">
        <v>0.05</v>
      </c>
      <c r="AP37" s="1509"/>
      <c r="AQ37" s="778">
        <v>5</v>
      </c>
      <c r="AR37" s="682">
        <v>-0.06</v>
      </c>
      <c r="AS37" s="682">
        <v>-0.04</v>
      </c>
      <c r="AT37" s="680" t="s">
        <v>291</v>
      </c>
      <c r="AU37" s="681">
        <f t="shared" ref="AU37:AU41" si="23">0.5*(MAX(AR37:AT37)-MIN(AR37:AT37))</f>
        <v>9.9999999999999985E-3</v>
      </c>
      <c r="AV37" s="682">
        <v>0.05</v>
      </c>
      <c r="AX37" s="779">
        <v>10</v>
      </c>
      <c r="AY37" s="688">
        <v>-0.11</v>
      </c>
      <c r="AZ37" s="687" t="s">
        <v>291</v>
      </c>
      <c r="BA37" s="687" t="s">
        <v>291</v>
      </c>
      <c r="BB37" s="689">
        <f t="shared" ref="BB37:BB41" si="24">0.5*(MAX(AY37:BA37)-MIN(AY37:BA37))</f>
        <v>0</v>
      </c>
      <c r="BC37" s="688">
        <v>0.05</v>
      </c>
      <c r="BD37" s="1514"/>
      <c r="BE37" s="779">
        <v>10</v>
      </c>
      <c r="BF37" s="688">
        <v>-0.15</v>
      </c>
      <c r="BG37" s="687" t="s">
        <v>291</v>
      </c>
      <c r="BH37" s="687" t="s">
        <v>291</v>
      </c>
      <c r="BI37" s="689">
        <f t="shared" ref="BI37:BI41" si="25">0.5*(MAX(BF37:BH37)-MIN(BF37:BH37))</f>
        <v>0</v>
      </c>
      <c r="BJ37" s="688">
        <v>0.06</v>
      </c>
    </row>
    <row r="38" spans="1:62" ht="12.6" customHeight="1" x14ac:dyDescent="0.2">
      <c r="A38" s="500">
        <v>15</v>
      </c>
      <c r="B38" s="656">
        <v>-0.06</v>
      </c>
      <c r="C38" s="657">
        <v>-7.0000000000000007E-2</v>
      </c>
      <c r="D38" s="657" t="s">
        <v>291</v>
      </c>
      <c r="E38" s="658">
        <f t="shared" si="17"/>
        <v>5.0000000000000044E-3</v>
      </c>
      <c r="F38" s="656">
        <v>0.02</v>
      </c>
      <c r="G38" s="1548"/>
      <c r="H38" s="500">
        <v>15</v>
      </c>
      <c r="I38" s="656">
        <v>0.01</v>
      </c>
      <c r="J38" s="657">
        <v>-0.04</v>
      </c>
      <c r="K38" s="657" t="s">
        <v>291</v>
      </c>
      <c r="L38" s="658">
        <f t="shared" si="18"/>
        <v>2.5000000000000001E-2</v>
      </c>
      <c r="M38" s="656">
        <v>0.02</v>
      </c>
      <c r="O38" s="776">
        <v>15</v>
      </c>
      <c r="P38" s="659">
        <v>-0.05</v>
      </c>
      <c r="Q38" s="659">
        <v>-0.09</v>
      </c>
      <c r="R38" s="659">
        <v>0.01</v>
      </c>
      <c r="S38" s="660">
        <f t="shared" si="19"/>
        <v>4.9999999999999996E-2</v>
      </c>
      <c r="T38" s="659">
        <v>0.05</v>
      </c>
      <c r="V38" s="777">
        <v>10</v>
      </c>
      <c r="W38" s="665">
        <v>-0.02</v>
      </c>
      <c r="X38" s="665">
        <v>-0.14000000000000001</v>
      </c>
      <c r="Y38" s="664">
        <v>-0.02</v>
      </c>
      <c r="Z38" s="666">
        <f t="shared" si="20"/>
        <v>6.0000000000000005E-2</v>
      </c>
      <c r="AA38" s="665">
        <v>0.05</v>
      </c>
      <c r="AB38" s="1549"/>
      <c r="AC38" s="777">
        <v>10</v>
      </c>
      <c r="AD38" s="665">
        <v>-0.02</v>
      </c>
      <c r="AE38" s="665">
        <v>-0.1</v>
      </c>
      <c r="AF38" s="664">
        <v>-0.02</v>
      </c>
      <c r="AG38" s="666">
        <f t="shared" si="21"/>
        <v>0.04</v>
      </c>
      <c r="AH38" s="665">
        <v>0.05</v>
      </c>
      <c r="AJ38" s="778">
        <v>10</v>
      </c>
      <c r="AK38" s="682">
        <v>-0.01</v>
      </c>
      <c r="AL38" s="682">
        <v>-0.02</v>
      </c>
      <c r="AM38" s="680" t="s">
        <v>291</v>
      </c>
      <c r="AN38" s="681">
        <f t="shared" si="22"/>
        <v>5.0000000000000001E-3</v>
      </c>
      <c r="AO38" s="682">
        <v>0.05</v>
      </c>
      <c r="AP38" s="1509"/>
      <c r="AQ38" s="778">
        <v>10</v>
      </c>
      <c r="AR38" s="682">
        <v>-0.08</v>
      </c>
      <c r="AS38" s="682">
        <v>-0.09</v>
      </c>
      <c r="AT38" s="680" t="s">
        <v>291</v>
      </c>
      <c r="AU38" s="681">
        <f t="shared" si="23"/>
        <v>4.9999999999999975E-3</v>
      </c>
      <c r="AV38" s="682">
        <v>0.05</v>
      </c>
      <c r="AX38" s="779">
        <v>20</v>
      </c>
      <c r="AY38" s="688">
        <v>-0.16</v>
      </c>
      <c r="AZ38" s="687" t="s">
        <v>291</v>
      </c>
      <c r="BA38" s="687" t="s">
        <v>291</v>
      </c>
      <c r="BB38" s="689">
        <f t="shared" si="24"/>
        <v>0</v>
      </c>
      <c r="BC38" s="688">
        <v>0.05</v>
      </c>
      <c r="BD38" s="1514"/>
      <c r="BE38" s="779">
        <v>20</v>
      </c>
      <c r="BF38" s="688">
        <v>-0.17</v>
      </c>
      <c r="BG38" s="687" t="s">
        <v>291</v>
      </c>
      <c r="BH38" s="687" t="s">
        <v>291</v>
      </c>
      <c r="BI38" s="689">
        <f t="shared" si="25"/>
        <v>0</v>
      </c>
      <c r="BJ38" s="688">
        <v>0.06</v>
      </c>
    </row>
    <row r="39" spans="1:62" ht="12.6" customHeight="1" x14ac:dyDescent="0.2">
      <c r="A39" s="500">
        <v>20</v>
      </c>
      <c r="B39" s="656">
        <v>-0.06</v>
      </c>
      <c r="C39" s="657">
        <v>-0.12</v>
      </c>
      <c r="D39" s="657" t="s">
        <v>291</v>
      </c>
      <c r="E39" s="658">
        <f t="shared" si="17"/>
        <v>0.03</v>
      </c>
      <c r="F39" s="656">
        <v>0.02</v>
      </c>
      <c r="G39" s="1548"/>
      <c r="H39" s="500">
        <v>20</v>
      </c>
      <c r="I39" s="656">
        <v>-0.02</v>
      </c>
      <c r="J39" s="657">
        <v>-0.04</v>
      </c>
      <c r="K39" s="657" t="s">
        <v>291</v>
      </c>
      <c r="L39" s="658">
        <f t="shared" si="18"/>
        <v>0.01</v>
      </c>
      <c r="M39" s="656">
        <v>0.02</v>
      </c>
      <c r="O39" s="776">
        <v>20</v>
      </c>
      <c r="P39" s="659">
        <v>-0.13</v>
      </c>
      <c r="Q39" s="659">
        <v>-0.11</v>
      </c>
      <c r="R39" s="659">
        <v>0.04</v>
      </c>
      <c r="S39" s="660">
        <f t="shared" si="19"/>
        <v>8.5000000000000006E-2</v>
      </c>
      <c r="T39" s="659">
        <v>0.05</v>
      </c>
      <c r="V39" s="777">
        <v>15</v>
      </c>
      <c r="W39" s="665">
        <v>-0.04</v>
      </c>
      <c r="X39" s="665">
        <v>-0.18</v>
      </c>
      <c r="Y39" s="664">
        <v>-0.02</v>
      </c>
      <c r="Z39" s="666">
        <f t="shared" si="20"/>
        <v>0.08</v>
      </c>
      <c r="AA39" s="665">
        <v>0.05</v>
      </c>
      <c r="AB39" s="1549"/>
      <c r="AC39" s="777">
        <v>15</v>
      </c>
      <c r="AD39" s="665">
        <v>-0.1</v>
      </c>
      <c r="AE39" s="665">
        <v>-0.13</v>
      </c>
      <c r="AF39" s="664">
        <v>-0.02</v>
      </c>
      <c r="AG39" s="666">
        <f t="shared" si="21"/>
        <v>5.5E-2</v>
      </c>
      <c r="AH39" s="665">
        <v>0.05</v>
      </c>
      <c r="AJ39" s="778">
        <v>15</v>
      </c>
      <c r="AK39" s="682">
        <v>-0.03</v>
      </c>
      <c r="AL39" s="682">
        <v>-0.03</v>
      </c>
      <c r="AM39" s="680" t="s">
        <v>291</v>
      </c>
      <c r="AN39" s="681">
        <f t="shared" si="22"/>
        <v>0</v>
      </c>
      <c r="AO39" s="682">
        <v>0.05</v>
      </c>
      <c r="AP39" s="1509"/>
      <c r="AQ39" s="778">
        <v>15</v>
      </c>
      <c r="AR39" s="682">
        <v>-0.11</v>
      </c>
      <c r="AS39" s="682">
        <v>-0.12</v>
      </c>
      <c r="AT39" s="680" t="s">
        <v>291</v>
      </c>
      <c r="AU39" s="681">
        <f t="shared" si="23"/>
        <v>4.9999999999999975E-3</v>
      </c>
      <c r="AV39" s="682">
        <v>0.05</v>
      </c>
      <c r="AX39" s="779">
        <v>30</v>
      </c>
      <c r="AY39" s="688">
        <v>-0.22</v>
      </c>
      <c r="AZ39" s="687" t="s">
        <v>291</v>
      </c>
      <c r="BA39" s="687" t="s">
        <v>291</v>
      </c>
      <c r="BB39" s="689">
        <f t="shared" si="24"/>
        <v>0</v>
      </c>
      <c r="BC39" s="688">
        <v>0.05</v>
      </c>
      <c r="BD39" s="1514"/>
      <c r="BE39" s="779">
        <v>30</v>
      </c>
      <c r="BF39" s="688">
        <v>-0.16</v>
      </c>
      <c r="BG39" s="687" t="s">
        <v>291</v>
      </c>
      <c r="BH39" s="687" t="s">
        <v>291</v>
      </c>
      <c r="BI39" s="689">
        <f t="shared" si="25"/>
        <v>0</v>
      </c>
      <c r="BJ39" s="688">
        <v>0.06</v>
      </c>
    </row>
    <row r="40" spans="1:62" ht="12.6" customHeight="1" x14ac:dyDescent="0.2">
      <c r="A40" s="500">
        <v>25</v>
      </c>
      <c r="B40" s="656">
        <v>-0.06</v>
      </c>
      <c r="C40" s="657">
        <v>-0.13</v>
      </c>
      <c r="D40" s="657" t="s">
        <v>291</v>
      </c>
      <c r="E40" s="658">
        <f t="shared" si="17"/>
        <v>3.5000000000000003E-2</v>
      </c>
      <c r="F40" s="656">
        <v>0.02</v>
      </c>
      <c r="G40" s="1548"/>
      <c r="H40" s="500">
        <v>25</v>
      </c>
      <c r="I40" s="656">
        <v>0.01</v>
      </c>
      <c r="J40" s="657">
        <v>-0.03</v>
      </c>
      <c r="K40" s="657" t="s">
        <v>291</v>
      </c>
      <c r="L40" s="658">
        <f t="shared" si="18"/>
        <v>0.02</v>
      </c>
      <c r="M40" s="656">
        <v>0.02</v>
      </c>
      <c r="O40" s="776">
        <v>25</v>
      </c>
      <c r="P40" s="659">
        <v>-0.11</v>
      </c>
      <c r="Q40" s="659">
        <v>-0.08</v>
      </c>
      <c r="R40" s="659">
        <v>7.0000000000000007E-2</v>
      </c>
      <c r="S40" s="660">
        <f t="shared" si="19"/>
        <v>0.09</v>
      </c>
      <c r="T40" s="659">
        <v>0.05</v>
      </c>
      <c r="V40" s="777">
        <v>25</v>
      </c>
      <c r="W40" s="665">
        <v>-0.14000000000000001</v>
      </c>
      <c r="X40" s="665">
        <v>-0.27</v>
      </c>
      <c r="Y40" s="664">
        <v>-0.02</v>
      </c>
      <c r="Z40" s="666">
        <f t="shared" si="20"/>
        <v>0.125</v>
      </c>
      <c r="AA40" s="665">
        <v>0.05</v>
      </c>
      <c r="AB40" s="1549"/>
      <c r="AC40" s="777">
        <v>25</v>
      </c>
      <c r="AD40" s="665">
        <v>-0.19</v>
      </c>
      <c r="AE40" s="665">
        <v>-0.15</v>
      </c>
      <c r="AF40" s="664">
        <v>-0.02</v>
      </c>
      <c r="AG40" s="666">
        <f t="shared" si="21"/>
        <v>8.5000000000000006E-2</v>
      </c>
      <c r="AH40" s="665">
        <v>0.05</v>
      </c>
      <c r="AJ40" s="778">
        <v>20</v>
      </c>
      <c r="AK40" s="682">
        <v>-7.0000000000000007E-2</v>
      </c>
      <c r="AL40" s="682">
        <v>-0.03</v>
      </c>
      <c r="AM40" s="680" t="s">
        <v>291</v>
      </c>
      <c r="AN40" s="681">
        <f t="shared" si="22"/>
        <v>2.0000000000000004E-2</v>
      </c>
      <c r="AO40" s="682">
        <v>0.05</v>
      </c>
      <c r="AP40" s="1509"/>
      <c r="AQ40" s="778">
        <v>20</v>
      </c>
      <c r="AR40" s="682">
        <v>-0.12</v>
      </c>
      <c r="AS40" s="682">
        <v>-0.14000000000000001</v>
      </c>
      <c r="AT40" s="680" t="s">
        <v>291</v>
      </c>
      <c r="AU40" s="681">
        <f t="shared" si="23"/>
        <v>1.0000000000000009E-2</v>
      </c>
      <c r="AV40" s="682">
        <v>0.05</v>
      </c>
      <c r="AX40" s="779">
        <v>35</v>
      </c>
      <c r="AY40" s="688">
        <v>-0.18</v>
      </c>
      <c r="AZ40" s="687" t="s">
        <v>291</v>
      </c>
      <c r="BA40" s="687" t="s">
        <v>291</v>
      </c>
      <c r="BB40" s="689">
        <f t="shared" si="24"/>
        <v>0</v>
      </c>
      <c r="BC40" s="688">
        <v>0.05</v>
      </c>
      <c r="BD40" s="1514"/>
      <c r="BE40" s="779">
        <v>35</v>
      </c>
      <c r="BF40" s="688">
        <v>-0.16</v>
      </c>
      <c r="BG40" s="687" t="s">
        <v>291</v>
      </c>
      <c r="BH40" s="687" t="s">
        <v>291</v>
      </c>
      <c r="BI40" s="689">
        <f t="shared" si="25"/>
        <v>0</v>
      </c>
      <c r="BJ40" s="688">
        <v>0.06</v>
      </c>
    </row>
    <row r="41" spans="1:62" ht="12.6" customHeight="1" x14ac:dyDescent="0.2">
      <c r="A41" s="500">
        <v>30</v>
      </c>
      <c r="B41" s="656">
        <v>-0.02</v>
      </c>
      <c r="C41" s="657">
        <v>-0.09</v>
      </c>
      <c r="D41" s="657" t="s">
        <v>291</v>
      </c>
      <c r="E41" s="658">
        <f t="shared" si="17"/>
        <v>3.4999999999999996E-2</v>
      </c>
      <c r="F41" s="656">
        <v>0.02</v>
      </c>
      <c r="G41" s="1548"/>
      <c r="H41" s="500">
        <v>30</v>
      </c>
      <c r="I41" s="656">
        <v>0.01</v>
      </c>
      <c r="J41" s="657">
        <v>-0.01</v>
      </c>
      <c r="K41" s="657" t="s">
        <v>291</v>
      </c>
      <c r="L41" s="658">
        <f t="shared" si="18"/>
        <v>0.01</v>
      </c>
      <c r="M41" s="656">
        <v>0.02</v>
      </c>
      <c r="O41" s="776">
        <v>30</v>
      </c>
      <c r="P41" s="659">
        <v>-0.16</v>
      </c>
      <c r="Q41" s="659">
        <v>-0.08</v>
      </c>
      <c r="R41" s="659">
        <v>9.9999999999999995E-7</v>
      </c>
      <c r="S41" s="660">
        <f t="shared" si="19"/>
        <v>8.0000500000000002E-2</v>
      </c>
      <c r="T41" s="659">
        <v>0.05</v>
      </c>
      <c r="V41" s="777">
        <v>30</v>
      </c>
      <c r="W41" s="665">
        <v>-0.18</v>
      </c>
      <c r="X41" s="665">
        <v>-0.27</v>
      </c>
      <c r="Y41" s="664">
        <v>9.9999999999999995E-7</v>
      </c>
      <c r="Z41" s="666">
        <f t="shared" si="20"/>
        <v>0.1350005</v>
      </c>
      <c r="AA41" s="665">
        <v>0.05</v>
      </c>
      <c r="AB41" s="1549"/>
      <c r="AC41" s="777">
        <v>30</v>
      </c>
      <c r="AD41" s="665">
        <v>-0.23</v>
      </c>
      <c r="AE41" s="665">
        <v>-0.15</v>
      </c>
      <c r="AF41" s="664">
        <v>9.9999999999999995E-7</v>
      </c>
      <c r="AG41" s="666">
        <f t="shared" si="21"/>
        <v>0.11500050000000001</v>
      </c>
      <c r="AH41" s="665">
        <v>0.05</v>
      </c>
      <c r="AJ41" s="778">
        <v>25</v>
      </c>
      <c r="AK41" s="682">
        <v>-0.09</v>
      </c>
      <c r="AL41" s="682">
        <v>-0.03</v>
      </c>
      <c r="AM41" s="680" t="s">
        <v>291</v>
      </c>
      <c r="AN41" s="681">
        <f t="shared" si="22"/>
        <v>0.03</v>
      </c>
      <c r="AO41" s="682">
        <v>0.05</v>
      </c>
      <c r="AP41" s="1509"/>
      <c r="AQ41" s="778">
        <v>25</v>
      </c>
      <c r="AR41" s="682">
        <v>-0.12</v>
      </c>
      <c r="AS41" s="682">
        <v>-0.17</v>
      </c>
      <c r="AT41" s="680" t="s">
        <v>291</v>
      </c>
      <c r="AU41" s="681">
        <f t="shared" si="23"/>
        <v>2.5000000000000008E-2</v>
      </c>
      <c r="AV41" s="682">
        <v>0.05</v>
      </c>
      <c r="AX41" s="779">
        <v>40</v>
      </c>
      <c r="AY41" s="688">
        <v>-0.16</v>
      </c>
      <c r="AZ41" s="687" t="s">
        <v>291</v>
      </c>
      <c r="BA41" s="687" t="s">
        <v>291</v>
      </c>
      <c r="BB41" s="689">
        <f t="shared" si="24"/>
        <v>0</v>
      </c>
      <c r="BC41" s="688">
        <v>0.05</v>
      </c>
      <c r="BD41" s="1514"/>
      <c r="BE41" s="779">
        <v>40</v>
      </c>
      <c r="BF41" s="688">
        <v>-0.14000000000000001</v>
      </c>
      <c r="BG41" s="687" t="s">
        <v>291</v>
      </c>
      <c r="BH41" s="687" t="s">
        <v>291</v>
      </c>
      <c r="BI41" s="689">
        <f t="shared" si="25"/>
        <v>0</v>
      </c>
      <c r="BJ41" s="688">
        <v>0.06</v>
      </c>
    </row>
    <row r="42" spans="1:62" ht="12.95" customHeight="1" x14ac:dyDescent="0.2">
      <c r="A42" s="1530"/>
      <c r="B42" s="1530"/>
      <c r="C42" s="1530"/>
      <c r="D42" s="1530"/>
      <c r="E42" s="1530"/>
      <c r="F42" s="780"/>
      <c r="G42" s="1548"/>
      <c r="H42" s="1530"/>
      <c r="I42" s="1530"/>
      <c r="J42" s="1530"/>
      <c r="K42" s="1530"/>
      <c r="L42" s="1530"/>
      <c r="M42" s="780"/>
      <c r="O42" s="1574"/>
      <c r="P42" s="1575"/>
      <c r="Q42" s="1575"/>
      <c r="R42" s="1575"/>
      <c r="S42" s="1575"/>
      <c r="T42" s="1576"/>
      <c r="V42" s="1526"/>
      <c r="W42" s="1526"/>
      <c r="X42" s="1526"/>
      <c r="Y42" s="1526"/>
      <c r="Z42" s="1526"/>
      <c r="AA42" s="783"/>
      <c r="AB42" s="1549"/>
      <c r="AC42" s="1526"/>
      <c r="AD42" s="1526"/>
      <c r="AE42" s="1526"/>
      <c r="AF42" s="1526"/>
      <c r="AG42" s="1526"/>
      <c r="AH42" s="783"/>
      <c r="AJ42" s="1510"/>
      <c r="AK42" s="1510"/>
      <c r="AL42" s="1510"/>
      <c r="AM42" s="1510"/>
      <c r="AN42" s="1510"/>
      <c r="AO42" s="784"/>
      <c r="AP42" s="1509"/>
      <c r="AQ42" s="1510"/>
      <c r="AR42" s="1510"/>
      <c r="AS42" s="1510"/>
      <c r="AT42" s="1510"/>
      <c r="AU42" s="1510"/>
      <c r="AV42" s="1510"/>
      <c r="AX42" s="1511"/>
      <c r="AY42" s="1511"/>
      <c r="AZ42" s="1511"/>
      <c r="BA42" s="1511"/>
      <c r="BB42" s="1511"/>
      <c r="BC42" s="785"/>
      <c r="BD42" s="1514"/>
      <c r="BE42" s="1511"/>
      <c r="BF42" s="1511"/>
      <c r="BG42" s="1511"/>
      <c r="BH42" s="1511"/>
      <c r="BI42" s="1511"/>
      <c r="BJ42" s="785"/>
    </row>
    <row r="43" spans="1:62" ht="15.75" customHeight="1" x14ac:dyDescent="0.2">
      <c r="A43" s="1524" t="str">
        <f>A17</f>
        <v>Channel 2</v>
      </c>
      <c r="B43" s="1524"/>
      <c r="C43" s="1524"/>
      <c r="D43" s="1524"/>
      <c r="E43" s="1525" t="s">
        <v>287</v>
      </c>
      <c r="F43" s="1523" t="s">
        <v>391</v>
      </c>
      <c r="G43" s="1548"/>
      <c r="H43" s="1524" t="str">
        <f>H17</f>
        <v>Channel 4</v>
      </c>
      <c r="I43" s="1524"/>
      <c r="J43" s="1524"/>
      <c r="K43" s="1524"/>
      <c r="L43" s="1525" t="s">
        <v>287</v>
      </c>
      <c r="M43" s="1523" t="s">
        <v>393</v>
      </c>
      <c r="O43" s="1577"/>
      <c r="P43" s="1578"/>
      <c r="Q43" s="1578"/>
      <c r="R43" s="1578"/>
      <c r="S43" s="1578"/>
      <c r="T43" s="1579"/>
      <c r="V43" s="1341" t="str">
        <f>V17</f>
        <v>Channel 2</v>
      </c>
      <c r="W43" s="1341"/>
      <c r="X43" s="1341"/>
      <c r="Y43" s="1341"/>
      <c r="Z43" s="1340" t="s">
        <v>287</v>
      </c>
      <c r="AA43" s="1522" t="s">
        <v>393</v>
      </c>
      <c r="AB43" s="1549"/>
      <c r="AC43" s="1341" t="str">
        <f>AC17</f>
        <v>Channel 4</v>
      </c>
      <c r="AD43" s="1341"/>
      <c r="AE43" s="1341"/>
      <c r="AF43" s="1341"/>
      <c r="AG43" s="1340" t="s">
        <v>287</v>
      </c>
      <c r="AH43" s="1522" t="s">
        <v>393</v>
      </c>
      <c r="AJ43" s="1512" t="str">
        <f>AJ17</f>
        <v>Channel 2</v>
      </c>
      <c r="AK43" s="1512"/>
      <c r="AL43" s="1512"/>
      <c r="AM43" s="1512"/>
      <c r="AN43" s="1507" t="s">
        <v>287</v>
      </c>
      <c r="AO43" s="1508" t="s">
        <v>393</v>
      </c>
      <c r="AP43" s="1509"/>
      <c r="AQ43" s="1512" t="str">
        <f>AQ17</f>
        <v>Channel 4</v>
      </c>
      <c r="AR43" s="1512"/>
      <c r="AS43" s="1512"/>
      <c r="AT43" s="1512"/>
      <c r="AU43" s="1507" t="s">
        <v>287</v>
      </c>
      <c r="AV43" s="1508" t="s">
        <v>393</v>
      </c>
      <c r="AX43" s="1422" t="str">
        <f>AX17</f>
        <v>Channel 2</v>
      </c>
      <c r="AY43" s="1422"/>
      <c r="AZ43" s="1422"/>
      <c r="BA43" s="1422"/>
      <c r="BB43" s="1421" t="s">
        <v>287</v>
      </c>
      <c r="BC43" s="1505" t="s">
        <v>393</v>
      </c>
      <c r="BD43" s="1514"/>
      <c r="BE43" s="1422" t="str">
        <f>BE17</f>
        <v>Channel 4</v>
      </c>
      <c r="BF43" s="1422"/>
      <c r="BG43" s="1422"/>
      <c r="BH43" s="1422"/>
      <c r="BI43" s="1421" t="s">
        <v>287</v>
      </c>
      <c r="BJ43" s="1505" t="s">
        <v>393</v>
      </c>
    </row>
    <row r="44" spans="1:62" ht="12.95" customHeight="1" x14ac:dyDescent="0.2">
      <c r="A44" s="759" t="s">
        <v>403</v>
      </c>
      <c r="B44" s="1525" t="s">
        <v>286</v>
      </c>
      <c r="C44" s="1525"/>
      <c r="D44" s="1525"/>
      <c r="E44" s="1525"/>
      <c r="F44" s="1523"/>
      <c r="G44" s="1548"/>
      <c r="H44" s="759" t="s">
        <v>403</v>
      </c>
      <c r="I44" s="1525" t="s">
        <v>286</v>
      </c>
      <c r="J44" s="1525"/>
      <c r="K44" s="1525"/>
      <c r="L44" s="1525"/>
      <c r="M44" s="1523"/>
      <c r="O44" s="1577"/>
      <c r="P44" s="1578"/>
      <c r="Q44" s="1578"/>
      <c r="R44" s="1578"/>
      <c r="S44" s="1578"/>
      <c r="T44" s="1579"/>
      <c r="V44" s="761" t="s">
        <v>403</v>
      </c>
      <c r="W44" s="1340" t="s">
        <v>286</v>
      </c>
      <c r="X44" s="1340"/>
      <c r="Y44" s="1340"/>
      <c r="Z44" s="1340"/>
      <c r="AA44" s="1522"/>
      <c r="AB44" s="1549"/>
      <c r="AC44" s="761" t="s">
        <v>403</v>
      </c>
      <c r="AD44" s="1340" t="s">
        <v>286</v>
      </c>
      <c r="AE44" s="1340"/>
      <c r="AF44" s="1340"/>
      <c r="AG44" s="1340"/>
      <c r="AH44" s="1522"/>
      <c r="AJ44" s="762" t="s">
        <v>403</v>
      </c>
      <c r="AK44" s="1507" t="s">
        <v>286</v>
      </c>
      <c r="AL44" s="1507"/>
      <c r="AM44" s="1507"/>
      <c r="AN44" s="1507"/>
      <c r="AO44" s="1508"/>
      <c r="AP44" s="1509"/>
      <c r="AQ44" s="762" t="s">
        <v>403</v>
      </c>
      <c r="AR44" s="1507" t="s">
        <v>286</v>
      </c>
      <c r="AS44" s="1507"/>
      <c r="AT44" s="1507"/>
      <c r="AU44" s="1507"/>
      <c r="AV44" s="1508"/>
      <c r="AX44" s="763" t="s">
        <v>403</v>
      </c>
      <c r="AY44" s="1421" t="s">
        <v>286</v>
      </c>
      <c r="AZ44" s="1421"/>
      <c r="BA44" s="1421"/>
      <c r="BB44" s="1421"/>
      <c r="BC44" s="1505"/>
      <c r="BD44" s="1514"/>
      <c r="BE44" s="763" t="s">
        <v>403</v>
      </c>
      <c r="BF44" s="1421" t="s">
        <v>286</v>
      </c>
      <c r="BG44" s="1421"/>
      <c r="BH44" s="1421"/>
      <c r="BI44" s="1421"/>
      <c r="BJ44" s="1505"/>
    </row>
    <row r="45" spans="1:62" ht="14.1" customHeight="1" x14ac:dyDescent="0.2">
      <c r="A45" s="764" t="s">
        <v>404</v>
      </c>
      <c r="B45" s="765">
        <f>B35</f>
        <v>2021</v>
      </c>
      <c r="C45" s="765">
        <f>C35</f>
        <v>2019</v>
      </c>
      <c r="D45" s="765" t="str">
        <f>D35</f>
        <v>-</v>
      </c>
      <c r="E45" s="1525"/>
      <c r="F45" s="1523"/>
      <c r="G45" s="1548"/>
      <c r="H45" s="764" t="s">
        <v>404</v>
      </c>
      <c r="I45" s="765">
        <f>B35</f>
        <v>2021</v>
      </c>
      <c r="J45" s="765">
        <f>C35</f>
        <v>2019</v>
      </c>
      <c r="K45" s="765" t="str">
        <f>D35</f>
        <v>-</v>
      </c>
      <c r="L45" s="1525"/>
      <c r="M45" s="1523"/>
      <c r="O45" s="1577"/>
      <c r="P45" s="1578"/>
      <c r="Q45" s="1578"/>
      <c r="R45" s="1578"/>
      <c r="S45" s="1578"/>
      <c r="T45" s="1579"/>
      <c r="V45" s="725" t="s">
        <v>404</v>
      </c>
      <c r="W45" s="718">
        <f>W35</f>
        <v>2022</v>
      </c>
      <c r="X45" s="718">
        <f>X35</f>
        <v>2019</v>
      </c>
      <c r="Y45" s="718">
        <f>Y35</f>
        <v>2016</v>
      </c>
      <c r="Z45" s="1340"/>
      <c r="AA45" s="1522"/>
      <c r="AB45" s="1549"/>
      <c r="AC45" s="725" t="s">
        <v>404</v>
      </c>
      <c r="AD45" s="718">
        <f>W35</f>
        <v>2022</v>
      </c>
      <c r="AE45" s="718">
        <f>X35</f>
        <v>2019</v>
      </c>
      <c r="AF45" s="718">
        <f>Y35</f>
        <v>2016</v>
      </c>
      <c r="AG45" s="1340"/>
      <c r="AH45" s="1522"/>
      <c r="AJ45" s="770" t="s">
        <v>404</v>
      </c>
      <c r="AK45" s="771">
        <f>AK35</f>
        <v>2022</v>
      </c>
      <c r="AL45" s="771">
        <f>AL35</f>
        <v>2021</v>
      </c>
      <c r="AM45" s="771" t="str">
        <f>AM35</f>
        <v>-</v>
      </c>
      <c r="AN45" s="1507"/>
      <c r="AO45" s="1508"/>
      <c r="AP45" s="1509"/>
      <c r="AQ45" s="770" t="s">
        <v>404</v>
      </c>
      <c r="AR45" s="771">
        <f>AK35</f>
        <v>2022</v>
      </c>
      <c r="AS45" s="771">
        <f>AL35</f>
        <v>2021</v>
      </c>
      <c r="AT45" s="771" t="str">
        <f>AM35</f>
        <v>-</v>
      </c>
      <c r="AU45" s="1507"/>
      <c r="AV45" s="1508"/>
      <c r="AX45" s="773" t="s">
        <v>404</v>
      </c>
      <c r="AY45" s="774">
        <f>AY35</f>
        <v>2022</v>
      </c>
      <c r="AZ45" s="774" t="str">
        <f>AZ35</f>
        <v>-</v>
      </c>
      <c r="BA45" s="774" t="str">
        <f>BA35</f>
        <v>-</v>
      </c>
      <c r="BB45" s="1421"/>
      <c r="BC45" s="1505"/>
      <c r="BD45" s="1514"/>
      <c r="BE45" s="773" t="s">
        <v>404</v>
      </c>
      <c r="BF45" s="774">
        <f>AY35</f>
        <v>2022</v>
      </c>
      <c r="BG45" s="774" t="str">
        <f>AZ35</f>
        <v>-</v>
      </c>
      <c r="BH45" s="774" t="str">
        <f>BA35</f>
        <v>-</v>
      </c>
      <c r="BI45" s="1421"/>
      <c r="BJ45" s="1505"/>
    </row>
    <row r="46" spans="1:62" ht="12.6" customHeight="1" x14ac:dyDescent="0.2">
      <c r="A46" s="500">
        <v>5</v>
      </c>
      <c r="B46" s="656">
        <v>9.9999999999999995E-7</v>
      </c>
      <c r="C46" s="656">
        <v>-0.02</v>
      </c>
      <c r="D46" s="657" t="s">
        <v>291</v>
      </c>
      <c r="E46" s="658">
        <f>0.5*(MAX(B46:D46)-MIN(B46:D46))</f>
        <v>1.0000500000000001E-2</v>
      </c>
      <c r="F46" s="656">
        <v>0.02</v>
      </c>
      <c r="G46" s="1548"/>
      <c r="H46" s="500">
        <v>5</v>
      </c>
      <c r="I46" s="656">
        <v>-0.01</v>
      </c>
      <c r="J46" s="656">
        <v>-0.02</v>
      </c>
      <c r="K46" s="657" t="s">
        <v>291</v>
      </c>
      <c r="L46" s="658">
        <f>0.5*(MAX(I46:K46)-MIN(I46:K46))</f>
        <v>5.0000000000000001E-3</v>
      </c>
      <c r="M46" s="656">
        <v>0.02</v>
      </c>
      <c r="O46" s="1577"/>
      <c r="P46" s="1578"/>
      <c r="Q46" s="1578"/>
      <c r="R46" s="1578"/>
      <c r="S46" s="1578"/>
      <c r="T46" s="1579"/>
      <c r="V46" s="777">
        <v>9.9999999999999995E-7</v>
      </c>
      <c r="W46" s="665">
        <v>9.9999999999999995E-7</v>
      </c>
      <c r="X46" s="665">
        <v>9.9999999999999995E-7</v>
      </c>
      <c r="Y46" s="665">
        <v>9.9999999999999995E-7</v>
      </c>
      <c r="Z46" s="665">
        <v>9.9999999999999995E-7</v>
      </c>
      <c r="AA46" s="665">
        <v>0.05</v>
      </c>
      <c r="AB46" s="1549"/>
      <c r="AC46" s="777">
        <v>9.9999999999999995E-7</v>
      </c>
      <c r="AD46" s="665">
        <v>9.9999999999999995E-7</v>
      </c>
      <c r="AE46" s="665">
        <v>9.9999999999999995E-7</v>
      </c>
      <c r="AF46" s="665">
        <v>9.9999999999999995E-7</v>
      </c>
      <c r="AG46" s="665">
        <v>9.9999999999999995E-7</v>
      </c>
      <c r="AH46" s="665">
        <v>0.05</v>
      </c>
      <c r="AJ46" s="778">
        <v>9.9999999999999995E-7</v>
      </c>
      <c r="AK46" s="682">
        <v>9.9999999999999995E-7</v>
      </c>
      <c r="AL46" s="682">
        <v>9.9999999999999995E-7</v>
      </c>
      <c r="AM46" s="680" t="s">
        <v>291</v>
      </c>
      <c r="AN46" s="682">
        <v>9.9999999999999995E-7</v>
      </c>
      <c r="AO46" s="682">
        <v>0.06</v>
      </c>
      <c r="AP46" s="1509"/>
      <c r="AQ46" s="778">
        <v>9.9999999999999995E-7</v>
      </c>
      <c r="AR46" s="682">
        <v>9.9999999999999995E-7</v>
      </c>
      <c r="AS46" s="682">
        <v>9.9999999999999995E-7</v>
      </c>
      <c r="AT46" s="680" t="s">
        <v>291</v>
      </c>
      <c r="AU46" s="682">
        <v>9.9999999999999995E-7</v>
      </c>
      <c r="AV46" s="682">
        <v>0.06</v>
      </c>
      <c r="AX46" s="779">
        <v>0</v>
      </c>
      <c r="AY46" s="688">
        <v>9.9999999999999995E-7</v>
      </c>
      <c r="AZ46" s="688" t="s">
        <v>291</v>
      </c>
      <c r="BA46" s="688" t="s">
        <v>291</v>
      </c>
      <c r="BB46" s="689">
        <f>0.5*(MAX(AY46:BA46)-MIN(AY46:BA46))</f>
        <v>0</v>
      </c>
      <c r="BC46" s="688">
        <v>0.05</v>
      </c>
      <c r="BD46" s="1514"/>
      <c r="BE46" s="779">
        <v>0</v>
      </c>
      <c r="BF46" s="688">
        <v>9.9999999999999995E-7</v>
      </c>
      <c r="BG46" s="688" t="s">
        <v>291</v>
      </c>
      <c r="BH46" s="688" t="s">
        <v>291</v>
      </c>
      <c r="BI46" s="688">
        <v>9.9999999999999995E-7</v>
      </c>
      <c r="BJ46" s="688">
        <v>0.06</v>
      </c>
    </row>
    <row r="47" spans="1:62" ht="12.6" customHeight="1" x14ac:dyDescent="0.2">
      <c r="A47" s="500">
        <v>10</v>
      </c>
      <c r="B47" s="656">
        <v>9.9999999999999995E-7</v>
      </c>
      <c r="C47" s="657">
        <v>-0.02</v>
      </c>
      <c r="D47" s="657" t="s">
        <v>291</v>
      </c>
      <c r="E47" s="658">
        <f t="shared" ref="E47:E51" si="26">0.5*(MAX(B47:D47)-MIN(B47:D47))</f>
        <v>1.0000500000000001E-2</v>
      </c>
      <c r="F47" s="656">
        <v>0.02</v>
      </c>
      <c r="G47" s="1548"/>
      <c r="H47" s="500">
        <v>10</v>
      </c>
      <c r="I47" s="656">
        <v>-0.06</v>
      </c>
      <c r="J47" s="657">
        <v>-0.04</v>
      </c>
      <c r="K47" s="657" t="s">
        <v>291</v>
      </c>
      <c r="L47" s="658">
        <f t="shared" ref="L47:L51" si="27">0.5*(MAX(I47:K47)-MIN(I47:K47))</f>
        <v>9.9999999999999985E-3</v>
      </c>
      <c r="M47" s="656">
        <v>0.02</v>
      </c>
      <c r="O47" s="1577"/>
      <c r="P47" s="1578"/>
      <c r="Q47" s="1578"/>
      <c r="R47" s="1578"/>
      <c r="S47" s="1578"/>
      <c r="T47" s="1579"/>
      <c r="V47" s="777">
        <v>5</v>
      </c>
      <c r="W47" s="665">
        <v>-0.01</v>
      </c>
      <c r="X47" s="665">
        <v>0.01</v>
      </c>
      <c r="Y47" s="664">
        <v>-0.03</v>
      </c>
      <c r="Z47" s="666">
        <f t="shared" ref="Z47:Z51" si="28">0.5*(MAX(W47:Y47)-MIN(W47:Y47))</f>
        <v>0.02</v>
      </c>
      <c r="AA47" s="665">
        <v>0.05</v>
      </c>
      <c r="AB47" s="1549"/>
      <c r="AC47" s="777">
        <v>5</v>
      </c>
      <c r="AD47" s="665">
        <v>0.05</v>
      </c>
      <c r="AE47" s="665">
        <v>7.0000000000000007E-2</v>
      </c>
      <c r="AF47" s="664">
        <v>-0.02</v>
      </c>
      <c r="AG47" s="666">
        <f t="shared" ref="AG47:AG51" si="29">0.5*(MAX(AD47:AF47)-MIN(AD47:AF47))</f>
        <v>4.5000000000000005E-2</v>
      </c>
      <c r="AH47" s="665">
        <v>0.05</v>
      </c>
      <c r="AJ47" s="778">
        <v>5</v>
      </c>
      <c r="AK47" s="682">
        <v>-0.05</v>
      </c>
      <c r="AL47" s="682">
        <v>-0.05</v>
      </c>
      <c r="AM47" s="680" t="s">
        <v>291</v>
      </c>
      <c r="AN47" s="681">
        <f t="shared" ref="AN47:AN51" si="30">0.5*(MAX(AK47:AM47)-MIN(AK47:AM47))</f>
        <v>0</v>
      </c>
      <c r="AO47" s="682">
        <v>0.06</v>
      </c>
      <c r="AP47" s="1509"/>
      <c r="AQ47" s="778">
        <v>5</v>
      </c>
      <c r="AR47" s="682">
        <v>-0.04</v>
      </c>
      <c r="AS47" s="682">
        <v>-0.03</v>
      </c>
      <c r="AT47" s="680" t="s">
        <v>291</v>
      </c>
      <c r="AU47" s="681">
        <f t="shared" ref="AU47:AU51" si="31">0.5*(MAX(AR47:AT47)-MIN(AR47:AT47))</f>
        <v>5.000000000000001E-3</v>
      </c>
      <c r="AV47" s="682">
        <v>0.06</v>
      </c>
      <c r="AX47" s="779">
        <v>10</v>
      </c>
      <c r="AY47" s="688">
        <v>-0.1</v>
      </c>
      <c r="AZ47" s="687" t="s">
        <v>291</v>
      </c>
      <c r="BA47" s="687" t="s">
        <v>291</v>
      </c>
      <c r="BB47" s="689">
        <f t="shared" ref="BB47:BB51" si="32">0.5*(MAX(AY47:BA47)-MIN(AY47:BA47))</f>
        <v>0</v>
      </c>
      <c r="BC47" s="688">
        <v>0.05</v>
      </c>
      <c r="BD47" s="1514"/>
      <c r="BE47" s="779">
        <v>10</v>
      </c>
      <c r="BF47" s="688">
        <v>-0.09</v>
      </c>
      <c r="BG47" s="687" t="s">
        <v>291</v>
      </c>
      <c r="BH47" s="687" t="s">
        <v>291</v>
      </c>
      <c r="BI47" s="689">
        <f t="shared" ref="BI47:BI51" si="33">0.5*(MAX(BF47:BH47)-MIN(BF47:BH47))</f>
        <v>0</v>
      </c>
      <c r="BJ47" s="688">
        <v>0.06</v>
      </c>
    </row>
    <row r="48" spans="1:62" ht="12.6" customHeight="1" x14ac:dyDescent="0.2">
      <c r="A48" s="500">
        <v>15</v>
      </c>
      <c r="B48" s="656">
        <v>-0.02</v>
      </c>
      <c r="C48" s="657">
        <v>-0.01</v>
      </c>
      <c r="D48" s="657" t="s">
        <v>291</v>
      </c>
      <c r="E48" s="658">
        <f t="shared" si="26"/>
        <v>5.0000000000000001E-3</v>
      </c>
      <c r="F48" s="656">
        <v>0.02</v>
      </c>
      <c r="G48" s="1548"/>
      <c r="H48" s="500">
        <v>15</v>
      </c>
      <c r="I48" s="656">
        <v>-0.08</v>
      </c>
      <c r="J48" s="657">
        <v>-0.04</v>
      </c>
      <c r="K48" s="657" t="s">
        <v>291</v>
      </c>
      <c r="L48" s="658">
        <f t="shared" si="27"/>
        <v>0.02</v>
      </c>
      <c r="M48" s="656">
        <v>0.02</v>
      </c>
      <c r="O48" s="1577"/>
      <c r="P48" s="1578"/>
      <c r="Q48" s="1578"/>
      <c r="R48" s="1578"/>
      <c r="S48" s="1578"/>
      <c r="T48" s="1579"/>
      <c r="V48" s="777">
        <v>10</v>
      </c>
      <c r="W48" s="665">
        <v>-0.05</v>
      </c>
      <c r="X48" s="665">
        <v>-0.04</v>
      </c>
      <c r="Y48" s="664">
        <v>-0.03</v>
      </c>
      <c r="Z48" s="666">
        <f t="shared" si="28"/>
        <v>1.0000000000000002E-2</v>
      </c>
      <c r="AA48" s="665">
        <v>0.05</v>
      </c>
      <c r="AB48" s="1549"/>
      <c r="AC48" s="777">
        <v>10</v>
      </c>
      <c r="AD48" s="665">
        <v>0.08</v>
      </c>
      <c r="AE48" s="665">
        <v>0.09</v>
      </c>
      <c r="AF48" s="664">
        <v>-0.02</v>
      </c>
      <c r="AG48" s="666">
        <f t="shared" si="29"/>
        <v>5.5E-2</v>
      </c>
      <c r="AH48" s="665">
        <v>0.05</v>
      </c>
      <c r="AJ48" s="778">
        <v>10</v>
      </c>
      <c r="AK48" s="682">
        <v>-0.09</v>
      </c>
      <c r="AL48" s="682">
        <v>-0.08</v>
      </c>
      <c r="AM48" s="680" t="s">
        <v>291</v>
      </c>
      <c r="AN48" s="681">
        <f t="shared" si="30"/>
        <v>4.9999999999999975E-3</v>
      </c>
      <c r="AO48" s="682">
        <v>0.06</v>
      </c>
      <c r="AP48" s="1509"/>
      <c r="AQ48" s="778">
        <v>10</v>
      </c>
      <c r="AR48" s="682">
        <v>-0.06</v>
      </c>
      <c r="AS48" s="682">
        <v>-0.06</v>
      </c>
      <c r="AT48" s="680" t="s">
        <v>291</v>
      </c>
      <c r="AU48" s="681">
        <f t="shared" si="31"/>
        <v>0</v>
      </c>
      <c r="AV48" s="682">
        <v>0.06</v>
      </c>
      <c r="AX48" s="779">
        <v>20</v>
      </c>
      <c r="AY48" s="688">
        <v>-0.19</v>
      </c>
      <c r="AZ48" s="687" t="s">
        <v>291</v>
      </c>
      <c r="BA48" s="687" t="s">
        <v>291</v>
      </c>
      <c r="BB48" s="689">
        <f t="shared" si="32"/>
        <v>0</v>
      </c>
      <c r="BC48" s="688">
        <v>0.05</v>
      </c>
      <c r="BD48" s="1514"/>
      <c r="BE48" s="779">
        <v>20</v>
      </c>
      <c r="BF48" s="688">
        <v>-0.11</v>
      </c>
      <c r="BG48" s="687" t="s">
        <v>291</v>
      </c>
      <c r="BH48" s="687" t="s">
        <v>291</v>
      </c>
      <c r="BI48" s="689">
        <f t="shared" si="33"/>
        <v>0</v>
      </c>
      <c r="BJ48" s="688">
        <v>0.06</v>
      </c>
    </row>
    <row r="49" spans="1:62" ht="12.6" customHeight="1" x14ac:dyDescent="0.2">
      <c r="A49" s="500">
        <v>20</v>
      </c>
      <c r="B49" s="656">
        <v>-0.05</v>
      </c>
      <c r="C49" s="657">
        <v>-0.02</v>
      </c>
      <c r="D49" s="657" t="s">
        <v>291</v>
      </c>
      <c r="E49" s="658">
        <f t="shared" si="26"/>
        <v>1.5000000000000001E-2</v>
      </c>
      <c r="F49" s="656">
        <v>0.02</v>
      </c>
      <c r="G49" s="1548"/>
      <c r="H49" s="500">
        <v>20</v>
      </c>
      <c r="I49" s="656">
        <v>-0.1</v>
      </c>
      <c r="J49" s="657">
        <v>-0.05</v>
      </c>
      <c r="K49" s="657" t="s">
        <v>291</v>
      </c>
      <c r="L49" s="658">
        <f t="shared" si="27"/>
        <v>2.5000000000000001E-2</v>
      </c>
      <c r="M49" s="656">
        <v>0.02</v>
      </c>
      <c r="O49" s="1577"/>
      <c r="P49" s="1578"/>
      <c r="Q49" s="1578"/>
      <c r="R49" s="1578"/>
      <c r="S49" s="1578"/>
      <c r="T49" s="1579"/>
      <c r="V49" s="777">
        <v>15</v>
      </c>
      <c r="W49" s="665">
        <v>-0.1</v>
      </c>
      <c r="X49" s="665">
        <v>-0.01</v>
      </c>
      <c r="Y49" s="664">
        <v>-0.02</v>
      </c>
      <c r="Z49" s="666">
        <f t="shared" si="28"/>
        <v>4.5000000000000005E-2</v>
      </c>
      <c r="AA49" s="665">
        <v>0.05</v>
      </c>
      <c r="AB49" s="1549"/>
      <c r="AC49" s="777">
        <v>15</v>
      </c>
      <c r="AD49" s="665">
        <v>0.09</v>
      </c>
      <c r="AE49" s="665">
        <v>0.14000000000000001</v>
      </c>
      <c r="AF49" s="664">
        <v>-0.02</v>
      </c>
      <c r="AG49" s="666">
        <f t="shared" si="29"/>
        <v>0.08</v>
      </c>
      <c r="AH49" s="665">
        <v>0.05</v>
      </c>
      <c r="AJ49" s="778">
        <v>15</v>
      </c>
      <c r="AK49" s="682">
        <v>-0.12</v>
      </c>
      <c r="AL49" s="682">
        <v>-0.11</v>
      </c>
      <c r="AM49" s="680" t="s">
        <v>291</v>
      </c>
      <c r="AN49" s="681">
        <f t="shared" si="30"/>
        <v>4.9999999999999975E-3</v>
      </c>
      <c r="AO49" s="682">
        <v>0.06</v>
      </c>
      <c r="AP49" s="1509"/>
      <c r="AQ49" s="778">
        <v>15</v>
      </c>
      <c r="AR49" s="682">
        <v>-0.08</v>
      </c>
      <c r="AS49" s="682">
        <v>-0.1</v>
      </c>
      <c r="AT49" s="680" t="s">
        <v>291</v>
      </c>
      <c r="AU49" s="681">
        <f t="shared" si="31"/>
        <v>1.0000000000000002E-2</v>
      </c>
      <c r="AV49" s="682">
        <v>0.06</v>
      </c>
      <c r="AX49" s="779">
        <v>30</v>
      </c>
      <c r="AY49" s="688">
        <v>-0.24</v>
      </c>
      <c r="AZ49" s="687" t="s">
        <v>291</v>
      </c>
      <c r="BA49" s="687" t="s">
        <v>291</v>
      </c>
      <c r="BB49" s="689">
        <f t="shared" si="32"/>
        <v>0</v>
      </c>
      <c r="BC49" s="688">
        <v>0.05</v>
      </c>
      <c r="BD49" s="1514"/>
      <c r="BE49" s="779">
        <v>30</v>
      </c>
      <c r="BF49" s="688">
        <v>-0.12</v>
      </c>
      <c r="BG49" s="687" t="s">
        <v>291</v>
      </c>
      <c r="BH49" s="687" t="s">
        <v>291</v>
      </c>
      <c r="BI49" s="689">
        <f t="shared" si="33"/>
        <v>0</v>
      </c>
      <c r="BJ49" s="688">
        <v>0.06</v>
      </c>
    </row>
    <row r="50" spans="1:62" ht="12.6" customHeight="1" x14ac:dyDescent="0.2">
      <c r="A50" s="500">
        <v>25</v>
      </c>
      <c r="B50" s="656">
        <v>-7.0000000000000007E-2</v>
      </c>
      <c r="C50" s="657">
        <v>-0.01</v>
      </c>
      <c r="D50" s="657" t="s">
        <v>291</v>
      </c>
      <c r="E50" s="658">
        <f t="shared" si="26"/>
        <v>3.0000000000000002E-2</v>
      </c>
      <c r="F50" s="656">
        <v>0.02</v>
      </c>
      <c r="G50" s="1548"/>
      <c r="H50" s="500">
        <v>25</v>
      </c>
      <c r="I50" s="656">
        <v>-0.09</v>
      </c>
      <c r="J50" s="657">
        <v>-0.02</v>
      </c>
      <c r="K50" s="657" t="s">
        <v>291</v>
      </c>
      <c r="L50" s="658">
        <f t="shared" si="27"/>
        <v>3.4999999999999996E-2</v>
      </c>
      <c r="M50" s="656">
        <v>0.02</v>
      </c>
      <c r="O50" s="1577"/>
      <c r="P50" s="1578"/>
      <c r="Q50" s="1578"/>
      <c r="R50" s="1578"/>
      <c r="S50" s="1578"/>
      <c r="T50" s="1579"/>
      <c r="V50" s="777">
        <v>25</v>
      </c>
      <c r="W50" s="665">
        <v>-0.23</v>
      </c>
      <c r="X50" s="665">
        <v>0.03</v>
      </c>
      <c r="Y50" s="664">
        <v>-0.02</v>
      </c>
      <c r="Z50" s="666">
        <f t="shared" si="28"/>
        <v>0.13</v>
      </c>
      <c r="AA50" s="665">
        <v>0.05</v>
      </c>
      <c r="AB50" s="1549"/>
      <c r="AC50" s="777">
        <v>25</v>
      </c>
      <c r="AD50" s="665">
        <v>-0.02</v>
      </c>
      <c r="AE50" s="665">
        <v>0.12</v>
      </c>
      <c r="AF50" s="664">
        <v>-0.01</v>
      </c>
      <c r="AG50" s="666">
        <f t="shared" si="29"/>
        <v>6.9999999999999993E-2</v>
      </c>
      <c r="AH50" s="665">
        <v>0.05</v>
      </c>
      <c r="AJ50" s="778">
        <v>20</v>
      </c>
      <c r="AK50" s="682">
        <v>-0.11</v>
      </c>
      <c r="AL50" s="682">
        <v>-0.14000000000000001</v>
      </c>
      <c r="AM50" s="680" t="s">
        <v>291</v>
      </c>
      <c r="AN50" s="681">
        <f t="shared" si="30"/>
        <v>1.5000000000000006E-2</v>
      </c>
      <c r="AO50" s="682">
        <v>0.06</v>
      </c>
      <c r="AP50" s="1509"/>
      <c r="AQ50" s="778">
        <v>20</v>
      </c>
      <c r="AR50" s="682">
        <v>-0.1</v>
      </c>
      <c r="AS50" s="682">
        <v>-0.13</v>
      </c>
      <c r="AT50" s="680" t="s">
        <v>291</v>
      </c>
      <c r="AU50" s="681">
        <f t="shared" si="31"/>
        <v>1.4999999999999999E-2</v>
      </c>
      <c r="AV50" s="682">
        <v>0.06</v>
      </c>
      <c r="AX50" s="779">
        <v>35</v>
      </c>
      <c r="AY50" s="688">
        <v>-0.23</v>
      </c>
      <c r="AZ50" s="687" t="s">
        <v>291</v>
      </c>
      <c r="BA50" s="687" t="s">
        <v>291</v>
      </c>
      <c r="BB50" s="689">
        <f t="shared" si="32"/>
        <v>0</v>
      </c>
      <c r="BC50" s="688">
        <v>0.05</v>
      </c>
      <c r="BD50" s="1514"/>
      <c r="BE50" s="779">
        <v>35</v>
      </c>
      <c r="BF50" s="688">
        <v>-0.11</v>
      </c>
      <c r="BG50" s="687" t="s">
        <v>291</v>
      </c>
      <c r="BH50" s="687" t="s">
        <v>291</v>
      </c>
      <c r="BI50" s="689">
        <f t="shared" si="33"/>
        <v>0</v>
      </c>
      <c r="BJ50" s="688">
        <v>0.06</v>
      </c>
    </row>
    <row r="51" spans="1:62" x14ac:dyDescent="0.2">
      <c r="A51" s="527">
        <v>30</v>
      </c>
      <c r="B51" s="656">
        <v>-7.0000000000000007E-2</v>
      </c>
      <c r="C51" s="657">
        <v>-0.02</v>
      </c>
      <c r="D51" s="657" t="s">
        <v>291</v>
      </c>
      <c r="E51" s="658">
        <f t="shared" si="26"/>
        <v>2.5000000000000001E-2</v>
      </c>
      <c r="F51" s="656">
        <v>0.02</v>
      </c>
      <c r="G51" s="1548"/>
      <c r="H51" s="527">
        <v>30</v>
      </c>
      <c r="I51" s="656">
        <v>-7.0000000000000007E-2</v>
      </c>
      <c r="J51" s="657">
        <v>9.9999999999999995E-7</v>
      </c>
      <c r="K51" s="657" t="s">
        <v>291</v>
      </c>
      <c r="L51" s="658">
        <f t="shared" si="27"/>
        <v>3.5000500000000004E-2</v>
      </c>
      <c r="M51" s="656">
        <v>0.02</v>
      </c>
      <c r="O51" s="1577"/>
      <c r="P51" s="1578"/>
      <c r="Q51" s="1578"/>
      <c r="R51" s="1578"/>
      <c r="S51" s="1578"/>
      <c r="T51" s="1579"/>
      <c r="V51" s="777">
        <v>30</v>
      </c>
      <c r="W51" s="665">
        <v>-0.45</v>
      </c>
      <c r="X51" s="665">
        <v>0.03</v>
      </c>
      <c r="Y51" s="664">
        <v>9.9999999999999995E-7</v>
      </c>
      <c r="Z51" s="666">
        <f t="shared" si="28"/>
        <v>0.24</v>
      </c>
      <c r="AA51" s="665">
        <v>0.05</v>
      </c>
      <c r="AB51" s="1549"/>
      <c r="AC51" s="777">
        <v>30</v>
      </c>
      <c r="AD51" s="665">
        <v>-0.05</v>
      </c>
      <c r="AE51" s="665">
        <v>0.12</v>
      </c>
      <c r="AF51" s="664">
        <v>9.9999999999999995E-7</v>
      </c>
      <c r="AG51" s="666">
        <f t="shared" si="29"/>
        <v>8.4999999999999992E-2</v>
      </c>
      <c r="AH51" s="665">
        <v>0.05</v>
      </c>
      <c r="AJ51" s="778">
        <v>25</v>
      </c>
      <c r="AK51" s="681">
        <v>-0.12</v>
      </c>
      <c r="AL51" s="681">
        <v>-0.17</v>
      </c>
      <c r="AM51" s="680" t="s">
        <v>291</v>
      </c>
      <c r="AN51" s="681">
        <f t="shared" si="30"/>
        <v>2.5000000000000008E-2</v>
      </c>
      <c r="AO51" s="682">
        <v>0.06</v>
      </c>
      <c r="AP51" s="1509"/>
      <c r="AQ51" s="778">
        <v>25</v>
      </c>
      <c r="AR51" s="683">
        <v>-0.09</v>
      </c>
      <c r="AS51" s="683">
        <v>-0.16</v>
      </c>
      <c r="AT51" s="680" t="s">
        <v>291</v>
      </c>
      <c r="AU51" s="681">
        <f t="shared" si="31"/>
        <v>3.5000000000000003E-2</v>
      </c>
      <c r="AV51" s="682">
        <v>0.06</v>
      </c>
      <c r="AX51" s="779">
        <v>40</v>
      </c>
      <c r="AY51" s="688">
        <v>-0.25</v>
      </c>
      <c r="AZ51" s="687" t="s">
        <v>291</v>
      </c>
      <c r="BA51" s="687" t="s">
        <v>291</v>
      </c>
      <c r="BB51" s="689">
        <f t="shared" si="32"/>
        <v>0</v>
      </c>
      <c r="BC51" s="688">
        <v>0.05</v>
      </c>
      <c r="BD51" s="1514"/>
      <c r="BE51" s="779">
        <v>40</v>
      </c>
      <c r="BF51" s="688">
        <v>-0.09</v>
      </c>
      <c r="BG51" s="687" t="s">
        <v>291</v>
      </c>
      <c r="BH51" s="687" t="s">
        <v>291</v>
      </c>
      <c r="BI51" s="689">
        <f t="shared" si="33"/>
        <v>0</v>
      </c>
      <c r="BJ51" s="688">
        <v>0.06</v>
      </c>
    </row>
    <row r="52" spans="1:62" x14ac:dyDescent="0.2">
      <c r="A52" s="528"/>
      <c r="B52" s="529"/>
      <c r="C52" s="529"/>
      <c r="D52" s="529"/>
      <c r="E52" s="529"/>
      <c r="F52" s="529"/>
      <c r="G52" s="529"/>
      <c r="H52" s="529"/>
      <c r="I52" s="529"/>
      <c r="J52" s="529"/>
      <c r="K52" s="529"/>
      <c r="L52" s="529"/>
      <c r="O52" s="1580"/>
      <c r="P52" s="1581"/>
      <c r="Q52" s="1581"/>
      <c r="R52" s="1581"/>
      <c r="S52" s="1581"/>
      <c r="T52" s="1582"/>
      <c r="AF52" s="751"/>
    </row>
    <row r="53" spans="1:62" ht="15.75" x14ac:dyDescent="0.2">
      <c r="A53" s="1546" t="s">
        <v>405</v>
      </c>
      <c r="B53" s="1546"/>
      <c r="C53" s="1546"/>
      <c r="D53" s="1546"/>
      <c r="E53" s="1546"/>
      <c r="F53" s="1546"/>
      <c r="G53" s="1546"/>
      <c r="H53" s="1546"/>
      <c r="I53" s="1546"/>
      <c r="J53" s="1546"/>
      <c r="K53" s="1546"/>
      <c r="L53" s="1546"/>
      <c r="M53" s="1546"/>
      <c r="O53" s="1602" t="s">
        <v>406</v>
      </c>
      <c r="P53" s="1603"/>
      <c r="Q53" s="1603"/>
      <c r="R53" s="1603"/>
      <c r="S53" s="1603"/>
      <c r="T53" s="1604"/>
      <c r="V53" s="1542" t="s">
        <v>407</v>
      </c>
      <c r="W53" s="1542"/>
      <c r="X53" s="1542"/>
      <c r="Y53" s="1542"/>
      <c r="Z53" s="1542"/>
      <c r="AA53" s="1542"/>
      <c r="AB53" s="1542"/>
      <c r="AC53" s="1542"/>
      <c r="AD53" s="1542"/>
      <c r="AE53" s="1542"/>
      <c r="AF53" s="1542"/>
      <c r="AG53" s="1542"/>
      <c r="AH53" s="1542"/>
      <c r="AJ53" s="1401" t="s">
        <v>408</v>
      </c>
      <c r="AK53" s="1401"/>
      <c r="AL53" s="1401"/>
      <c r="AM53" s="1401"/>
      <c r="AN53" s="1401"/>
      <c r="AO53" s="1401"/>
      <c r="AP53" s="1401"/>
      <c r="AQ53" s="1401"/>
      <c r="AR53" s="1401"/>
      <c r="AS53" s="1401"/>
      <c r="AT53" s="1401"/>
      <c r="AU53" s="1401"/>
      <c r="AV53" s="1401"/>
      <c r="AX53" s="1506">
        <v>2</v>
      </c>
      <c r="AY53" s="1506"/>
      <c r="AZ53" s="1506"/>
      <c r="BA53" s="1506"/>
      <c r="BB53" s="1506"/>
      <c r="BC53" s="1506"/>
      <c r="BD53" s="1506"/>
      <c r="BE53" s="1506"/>
      <c r="BF53" s="1506"/>
      <c r="BG53" s="1506"/>
      <c r="BH53" s="1506"/>
      <c r="BI53" s="796"/>
      <c r="BJ53" s="796"/>
    </row>
    <row r="54" spans="1:62" ht="15.75" customHeight="1" x14ac:dyDescent="0.25">
      <c r="A54" s="1535" t="s">
        <v>390</v>
      </c>
      <c r="B54" s="1535"/>
      <c r="C54" s="1535"/>
      <c r="D54" s="1535"/>
      <c r="E54" s="1486" t="s">
        <v>287</v>
      </c>
      <c r="F54" s="1487" t="s">
        <v>391</v>
      </c>
      <c r="G54" s="1586">
        <v>4</v>
      </c>
      <c r="H54" s="1536" t="s">
        <v>392</v>
      </c>
      <c r="I54" s="1536"/>
      <c r="J54" s="1536"/>
      <c r="K54" s="1536"/>
      <c r="L54" s="1486" t="s">
        <v>287</v>
      </c>
      <c r="M54" s="1487" t="s">
        <v>393</v>
      </c>
      <c r="O54" s="1605" t="s">
        <v>394</v>
      </c>
      <c r="P54" s="1606"/>
      <c r="Q54" s="1606"/>
      <c r="R54" s="1607"/>
      <c r="S54" s="1478" t="s">
        <v>287</v>
      </c>
      <c r="T54" s="1527" t="s">
        <v>393</v>
      </c>
      <c r="V54" s="1540" t="s">
        <v>390</v>
      </c>
      <c r="W54" s="1540"/>
      <c r="X54" s="1540"/>
      <c r="Y54" s="1540"/>
      <c r="Z54" s="1488" t="s">
        <v>287</v>
      </c>
      <c r="AA54" s="1469" t="s">
        <v>393</v>
      </c>
      <c r="AB54" s="1539">
        <v>6</v>
      </c>
      <c r="AC54" s="1547" t="s">
        <v>392</v>
      </c>
      <c r="AD54" s="1547"/>
      <c r="AE54" s="1547"/>
      <c r="AF54" s="1547"/>
      <c r="AG54" s="1488" t="s">
        <v>287</v>
      </c>
      <c r="AH54" s="1469" t="s">
        <v>393</v>
      </c>
      <c r="AJ54" s="1492" t="s">
        <v>390</v>
      </c>
      <c r="AK54" s="1492"/>
      <c r="AL54" s="1492"/>
      <c r="AM54" s="1492"/>
      <c r="AN54" s="1403" t="s">
        <v>287</v>
      </c>
      <c r="AO54" s="1414" t="s">
        <v>393</v>
      </c>
      <c r="AP54" s="1458">
        <v>8</v>
      </c>
      <c r="AQ54" s="1402" t="s">
        <v>392</v>
      </c>
      <c r="AR54" s="1402"/>
      <c r="AS54" s="1402"/>
      <c r="AT54" s="1402"/>
      <c r="AU54" s="1403" t="s">
        <v>287</v>
      </c>
      <c r="AV54" s="1414" t="s">
        <v>393</v>
      </c>
      <c r="AX54" s="1427" t="s">
        <v>390</v>
      </c>
      <c r="AY54" s="1427"/>
      <c r="AZ54" s="1427"/>
      <c r="BA54" s="1427"/>
      <c r="BB54" s="1413" t="s">
        <v>287</v>
      </c>
      <c r="BC54" s="1415" t="s">
        <v>393</v>
      </c>
      <c r="BD54" s="1500">
        <v>10</v>
      </c>
      <c r="BE54" s="1428" t="s">
        <v>392</v>
      </c>
      <c r="BF54" s="1428"/>
      <c r="BG54" s="1428"/>
      <c r="BH54" s="1428"/>
      <c r="BI54" s="1413" t="s">
        <v>287</v>
      </c>
      <c r="BJ54" s="1415" t="s">
        <v>393</v>
      </c>
    </row>
    <row r="55" spans="1:62" ht="12.75" customHeight="1" x14ac:dyDescent="0.2">
      <c r="A55" s="752" t="s">
        <v>164</v>
      </c>
      <c r="B55" s="1486" t="s">
        <v>286</v>
      </c>
      <c r="C55" s="1486"/>
      <c r="D55" s="1486"/>
      <c r="E55" s="1486"/>
      <c r="F55" s="1487"/>
      <c r="G55" s="1587"/>
      <c r="H55" s="752" t="s">
        <v>164</v>
      </c>
      <c r="I55" s="1486" t="s">
        <v>286</v>
      </c>
      <c r="J55" s="1486"/>
      <c r="K55" s="1486"/>
      <c r="L55" s="1486"/>
      <c r="M55" s="1487"/>
      <c r="O55" s="797" t="s">
        <v>164</v>
      </c>
      <c r="P55" s="1474" t="s">
        <v>286</v>
      </c>
      <c r="Q55" s="1475"/>
      <c r="R55" s="1476"/>
      <c r="S55" s="1478"/>
      <c r="T55" s="1527"/>
      <c r="V55" s="798" t="s">
        <v>164</v>
      </c>
      <c r="W55" s="1488" t="s">
        <v>286</v>
      </c>
      <c r="X55" s="1488"/>
      <c r="Y55" s="1488"/>
      <c r="Z55" s="1488"/>
      <c r="AA55" s="1469"/>
      <c r="AB55" s="1539"/>
      <c r="AC55" s="798" t="s">
        <v>164</v>
      </c>
      <c r="AD55" s="1488" t="s">
        <v>286</v>
      </c>
      <c r="AE55" s="1488"/>
      <c r="AF55" s="1488"/>
      <c r="AG55" s="1488"/>
      <c r="AH55" s="1469"/>
      <c r="AJ55" s="799" t="s">
        <v>164</v>
      </c>
      <c r="AK55" s="1403" t="s">
        <v>286</v>
      </c>
      <c r="AL55" s="1403"/>
      <c r="AM55" s="1403"/>
      <c r="AN55" s="1403"/>
      <c r="AO55" s="1414"/>
      <c r="AP55" s="1459"/>
      <c r="AQ55" s="799" t="s">
        <v>164</v>
      </c>
      <c r="AR55" s="1403" t="s">
        <v>286</v>
      </c>
      <c r="AS55" s="1403"/>
      <c r="AT55" s="1403"/>
      <c r="AU55" s="1403"/>
      <c r="AV55" s="1414"/>
      <c r="AX55" s="800" t="s">
        <v>164</v>
      </c>
      <c r="AY55" s="1413" t="s">
        <v>286</v>
      </c>
      <c r="AZ55" s="1413"/>
      <c r="BA55" s="1413"/>
      <c r="BB55" s="1413"/>
      <c r="BC55" s="1415"/>
      <c r="BD55" s="1501"/>
      <c r="BE55" s="800" t="s">
        <v>164</v>
      </c>
      <c r="BF55" s="1413" t="s">
        <v>286</v>
      </c>
      <c r="BG55" s="1413"/>
      <c r="BH55" s="1413"/>
      <c r="BI55" s="1413"/>
      <c r="BJ55" s="1415"/>
    </row>
    <row r="56" spans="1:62" ht="15" customHeight="1" x14ac:dyDescent="0.2">
      <c r="A56" s="753" t="s">
        <v>395</v>
      </c>
      <c r="B56" s="801">
        <v>2018</v>
      </c>
      <c r="C56" s="802" t="s">
        <v>291</v>
      </c>
      <c r="D56" s="803" t="s">
        <v>291</v>
      </c>
      <c r="E56" s="1486"/>
      <c r="F56" s="1487"/>
      <c r="G56" s="1587"/>
      <c r="H56" s="753" t="s">
        <v>395</v>
      </c>
      <c r="I56" s="801">
        <f>B56</f>
        <v>2018</v>
      </c>
      <c r="J56" s="801" t="str">
        <f>C56</f>
        <v>-</v>
      </c>
      <c r="K56" s="801" t="str">
        <f>D56</f>
        <v>-</v>
      </c>
      <c r="L56" s="1486"/>
      <c r="M56" s="1487"/>
      <c r="O56" s="804" t="s">
        <v>395</v>
      </c>
      <c r="P56" s="805" t="s">
        <v>291</v>
      </c>
      <c r="Q56" s="805" t="s">
        <v>291</v>
      </c>
      <c r="R56" s="805" t="s">
        <v>291</v>
      </c>
      <c r="S56" s="1478"/>
      <c r="T56" s="1527"/>
      <c r="V56" s="806" t="s">
        <v>395</v>
      </c>
      <c r="W56" s="807">
        <v>2021</v>
      </c>
      <c r="X56" s="807">
        <v>2019</v>
      </c>
      <c r="Y56" s="808" t="s">
        <v>291</v>
      </c>
      <c r="Z56" s="1488"/>
      <c r="AA56" s="1469"/>
      <c r="AB56" s="1539"/>
      <c r="AC56" s="806" t="s">
        <v>395</v>
      </c>
      <c r="AD56" s="807">
        <f>W56</f>
        <v>2021</v>
      </c>
      <c r="AE56" s="807">
        <f>X56</f>
        <v>2019</v>
      </c>
      <c r="AF56" s="807" t="str">
        <f>Y56</f>
        <v>-</v>
      </c>
      <c r="AG56" s="1488"/>
      <c r="AH56" s="1469"/>
      <c r="AJ56" s="809" t="s">
        <v>395</v>
      </c>
      <c r="AK56" s="810">
        <v>2022</v>
      </c>
      <c r="AL56" s="810">
        <v>2021</v>
      </c>
      <c r="AM56" s="811" t="s">
        <v>291</v>
      </c>
      <c r="AN56" s="1403"/>
      <c r="AO56" s="1414"/>
      <c r="AP56" s="1459"/>
      <c r="AQ56" s="809" t="s">
        <v>395</v>
      </c>
      <c r="AR56" s="810">
        <f>AK56</f>
        <v>2022</v>
      </c>
      <c r="AS56" s="810">
        <f>AL56</f>
        <v>2021</v>
      </c>
      <c r="AT56" s="810" t="str">
        <f>AM56</f>
        <v>-</v>
      </c>
      <c r="AU56" s="1403"/>
      <c r="AV56" s="1414"/>
      <c r="AX56" s="812" t="s">
        <v>395</v>
      </c>
      <c r="AY56" s="813" t="s">
        <v>291</v>
      </c>
      <c r="AZ56" s="813" t="s">
        <v>291</v>
      </c>
      <c r="BA56" s="813" t="s">
        <v>291</v>
      </c>
      <c r="BB56" s="1413"/>
      <c r="BC56" s="1415"/>
      <c r="BD56" s="1501"/>
      <c r="BE56" s="812" t="s">
        <v>395</v>
      </c>
      <c r="BF56" s="814" t="str">
        <f>AY56</f>
        <v>-</v>
      </c>
      <c r="BG56" s="814" t="str">
        <f>AZ56</f>
        <v>-</v>
      </c>
      <c r="BH56" s="814" t="str">
        <f>BA56</f>
        <v>-</v>
      </c>
      <c r="BI56" s="1413"/>
      <c r="BJ56" s="1415"/>
    </row>
    <row r="57" spans="1:62" ht="12.75" customHeight="1" x14ac:dyDescent="0.2">
      <c r="A57" s="702">
        <v>0</v>
      </c>
      <c r="B57" s="668">
        <v>9.9999999999999995E-7</v>
      </c>
      <c r="C57" s="667" t="s">
        <v>291</v>
      </c>
      <c r="D57" s="667" t="s">
        <v>291</v>
      </c>
      <c r="E57" s="668">
        <v>9.9999999999999995E-7</v>
      </c>
      <c r="F57" s="668">
        <v>0.32</v>
      </c>
      <c r="G57" s="1587"/>
      <c r="H57" s="702">
        <v>0</v>
      </c>
      <c r="I57" s="668">
        <v>9.9999999999999995E-7</v>
      </c>
      <c r="J57" s="668" t="s">
        <v>291</v>
      </c>
      <c r="K57" s="667" t="s">
        <v>291</v>
      </c>
      <c r="L57" s="668">
        <v>9.9999999999999995E-7</v>
      </c>
      <c r="M57" s="668">
        <v>0.48</v>
      </c>
      <c r="O57" s="815">
        <v>0</v>
      </c>
      <c r="P57" s="673" t="s">
        <v>291</v>
      </c>
      <c r="Q57" s="673" t="s">
        <v>291</v>
      </c>
      <c r="R57" s="673" t="s">
        <v>291</v>
      </c>
      <c r="S57" s="674">
        <v>9.9999999999999995E-7</v>
      </c>
      <c r="T57" s="674">
        <v>0.02</v>
      </c>
      <c r="V57" s="504">
        <v>0</v>
      </c>
      <c r="W57" s="678">
        <v>9.9999999999999995E-7</v>
      </c>
      <c r="X57" s="678">
        <v>9.9999999999999995E-7</v>
      </c>
      <c r="Y57" s="677" t="s">
        <v>291</v>
      </c>
      <c r="Z57" s="678">
        <v>9.9999999999999995E-7</v>
      </c>
      <c r="AA57" s="678">
        <v>0.1</v>
      </c>
      <c r="AB57" s="1539"/>
      <c r="AC57" s="504">
        <v>0</v>
      </c>
      <c r="AD57" s="678">
        <v>9.9999999999999995E-7</v>
      </c>
      <c r="AE57" s="678">
        <v>9.9999999999999995E-7</v>
      </c>
      <c r="AF57" s="677" t="s">
        <v>291</v>
      </c>
      <c r="AG57" s="678">
        <v>9.9999999999999995E-7</v>
      </c>
      <c r="AH57" s="678">
        <v>0.18</v>
      </c>
      <c r="AJ57" s="816">
        <v>0</v>
      </c>
      <c r="AK57" s="686">
        <v>9.9999999999999995E-7</v>
      </c>
      <c r="AL57" s="686">
        <v>9.9999999999999995E-7</v>
      </c>
      <c r="AM57" s="684" t="s">
        <v>291</v>
      </c>
      <c r="AN57" s="686">
        <v>9.9999999999999995E-7</v>
      </c>
      <c r="AO57" s="686">
        <v>0.65</v>
      </c>
      <c r="AP57" s="1459"/>
      <c r="AQ57" s="816">
        <v>0</v>
      </c>
      <c r="AR57" s="686">
        <v>9.9999999999999995E-7</v>
      </c>
      <c r="AS57" s="686">
        <v>9.9999999999999995E-7</v>
      </c>
      <c r="AT57" s="684" t="s">
        <v>291</v>
      </c>
      <c r="AU57" s="686">
        <v>9.9999999999999995E-7</v>
      </c>
      <c r="AV57" s="686">
        <v>0.57999999999999996</v>
      </c>
      <c r="AX57" s="817">
        <v>0</v>
      </c>
      <c r="AY57" s="690" t="s">
        <v>291</v>
      </c>
      <c r="AZ57" s="690" t="s">
        <v>291</v>
      </c>
      <c r="BA57" s="690" t="s">
        <v>291</v>
      </c>
      <c r="BB57" s="691">
        <v>9.9999999999999995E-7</v>
      </c>
      <c r="BC57" s="692">
        <v>0</v>
      </c>
      <c r="BD57" s="1501"/>
      <c r="BE57" s="817">
        <v>0</v>
      </c>
      <c r="BF57" s="690" t="s">
        <v>291</v>
      </c>
      <c r="BG57" s="690" t="s">
        <v>291</v>
      </c>
      <c r="BH57" s="690" t="s">
        <v>291</v>
      </c>
      <c r="BI57" s="691">
        <v>9.9999999999999995E-7</v>
      </c>
      <c r="BJ57" s="692">
        <v>0</v>
      </c>
    </row>
    <row r="58" spans="1:62" ht="12.75" customHeight="1" x14ac:dyDescent="0.2">
      <c r="A58" s="702">
        <v>10</v>
      </c>
      <c r="B58" s="668">
        <v>-7.0000000000000007E-2</v>
      </c>
      <c r="C58" s="668" t="s">
        <v>291</v>
      </c>
      <c r="D58" s="668" t="s">
        <v>291</v>
      </c>
      <c r="E58" s="669">
        <f t="shared" ref="E58:E66" si="34">0.5*(MAX(B58:D58)-MIN(B58:D58))</f>
        <v>0</v>
      </c>
      <c r="F58" s="668">
        <v>0.32</v>
      </c>
      <c r="G58" s="1587"/>
      <c r="H58" s="702">
        <v>10</v>
      </c>
      <c r="I58" s="668">
        <v>-0.13</v>
      </c>
      <c r="J58" s="668" t="s">
        <v>291</v>
      </c>
      <c r="K58" s="668" t="s">
        <v>291</v>
      </c>
      <c r="L58" s="669">
        <f t="shared" ref="L58:L66" si="35">0.5*(MAX(I58:K58)-MIN(I58:K58))</f>
        <v>0</v>
      </c>
      <c r="M58" s="668">
        <v>0.48</v>
      </c>
      <c r="O58" s="815">
        <v>0</v>
      </c>
      <c r="P58" s="674" t="s">
        <v>291</v>
      </c>
      <c r="Q58" s="674" t="s">
        <v>291</v>
      </c>
      <c r="R58" s="674" t="s">
        <v>291</v>
      </c>
      <c r="S58" s="674">
        <f t="shared" ref="S58:S66" si="36">0.5*(MAX(P58:R58)-MIN(P58:R58))</f>
        <v>0</v>
      </c>
      <c r="T58" s="674">
        <v>0.02</v>
      </c>
      <c r="V58" s="504">
        <v>10</v>
      </c>
      <c r="W58" s="678">
        <v>-0.03</v>
      </c>
      <c r="X58" s="678">
        <v>-0.16</v>
      </c>
      <c r="Y58" s="677" t="s">
        <v>291</v>
      </c>
      <c r="Z58" s="679">
        <f t="shared" ref="Z58:Z66" si="37">0.5*(MAX(W58:Y58)-MIN(W58:Y58))</f>
        <v>6.5000000000000002E-2</v>
      </c>
      <c r="AA58" s="678">
        <v>0.1</v>
      </c>
      <c r="AB58" s="1539"/>
      <c r="AC58" s="504">
        <v>10</v>
      </c>
      <c r="AD58" s="678">
        <v>-0.1</v>
      </c>
      <c r="AE58" s="678">
        <v>9.9999999999999995E-7</v>
      </c>
      <c r="AF58" s="677" t="s">
        <v>291</v>
      </c>
      <c r="AG58" s="679">
        <f t="shared" ref="AG58:AG66" si="38">0.5*(MAX(AD58:AF58)-MIN(AD58:AF58))</f>
        <v>5.0000500000000003E-2</v>
      </c>
      <c r="AH58" s="678">
        <v>0.18</v>
      </c>
      <c r="AJ58" s="816">
        <v>10</v>
      </c>
      <c r="AK58" s="686">
        <f>9.89-AJ58</f>
        <v>-0.10999999999999943</v>
      </c>
      <c r="AL58" s="686">
        <v>-0.02</v>
      </c>
      <c r="AM58" s="684" t="s">
        <v>291</v>
      </c>
      <c r="AN58" s="685">
        <f t="shared" ref="AN58:AN66" si="39">0.5*(MAX(AK58:AM58)-MIN(AK58:AM58))</f>
        <v>4.4999999999999714E-2</v>
      </c>
      <c r="AO58" s="686">
        <v>0.65</v>
      </c>
      <c r="AP58" s="1459"/>
      <c r="AQ58" s="816">
        <v>10</v>
      </c>
      <c r="AR58" s="686">
        <f>-AQ58+9.5</f>
        <v>-0.5</v>
      </c>
      <c r="AS58" s="686">
        <v>-0.06</v>
      </c>
      <c r="AT58" s="684" t="s">
        <v>291</v>
      </c>
      <c r="AU58" s="685">
        <f t="shared" ref="AU58:AU66" si="40">0.5*(MAX(AR58:AT58)-MIN(AR58:AT58))</f>
        <v>0.22</v>
      </c>
      <c r="AV58" s="686">
        <v>0.57999999999999996</v>
      </c>
      <c r="AX58" s="817">
        <v>5</v>
      </c>
      <c r="AY58" s="692" t="s">
        <v>291</v>
      </c>
      <c r="AZ58" s="692" t="s">
        <v>291</v>
      </c>
      <c r="BA58" s="692" t="s">
        <v>291</v>
      </c>
      <c r="BB58" s="691">
        <f t="shared" ref="BB58:BB66" si="41">0.5*(MAX(AY58:BA58)-MIN(AY58:BA58))</f>
        <v>0</v>
      </c>
      <c r="BC58" s="692">
        <v>0</v>
      </c>
      <c r="BD58" s="1501"/>
      <c r="BE58" s="817">
        <v>5</v>
      </c>
      <c r="BF58" s="692" t="s">
        <v>291</v>
      </c>
      <c r="BG58" s="692" t="s">
        <v>291</v>
      </c>
      <c r="BH58" s="692" t="s">
        <v>291</v>
      </c>
      <c r="BI58" s="691">
        <f t="shared" ref="BI58:BI66" si="42">0.5*(MAX(BF58:BH58)-MIN(BF58:BH58))</f>
        <v>0</v>
      </c>
      <c r="BJ58" s="692">
        <v>0</v>
      </c>
    </row>
    <row r="59" spans="1:62" ht="12.75" customHeight="1" x14ac:dyDescent="0.2">
      <c r="A59" s="702">
        <v>50</v>
      </c>
      <c r="B59" s="668">
        <v>-7.0000000000000007E-2</v>
      </c>
      <c r="C59" s="668" t="s">
        <v>291</v>
      </c>
      <c r="D59" s="668" t="s">
        <v>291</v>
      </c>
      <c r="E59" s="669">
        <f t="shared" si="34"/>
        <v>0</v>
      </c>
      <c r="F59" s="668">
        <v>0.32</v>
      </c>
      <c r="G59" s="1587"/>
      <c r="H59" s="702">
        <v>50</v>
      </c>
      <c r="I59" s="668">
        <v>-0.11</v>
      </c>
      <c r="J59" s="668" t="s">
        <v>291</v>
      </c>
      <c r="K59" s="668" t="s">
        <v>291</v>
      </c>
      <c r="L59" s="669">
        <f t="shared" si="35"/>
        <v>0</v>
      </c>
      <c r="M59" s="668">
        <v>0.48</v>
      </c>
      <c r="O59" s="815">
        <v>0</v>
      </c>
      <c r="P59" s="674" t="s">
        <v>291</v>
      </c>
      <c r="Q59" s="674" t="s">
        <v>291</v>
      </c>
      <c r="R59" s="674" t="s">
        <v>291</v>
      </c>
      <c r="S59" s="674">
        <f t="shared" si="36"/>
        <v>0</v>
      </c>
      <c r="T59" s="674">
        <v>0.02</v>
      </c>
      <c r="V59" s="504">
        <v>50</v>
      </c>
      <c r="W59" s="678">
        <v>-0.01</v>
      </c>
      <c r="X59" s="678">
        <v>-0.16</v>
      </c>
      <c r="Y59" s="677" t="s">
        <v>291</v>
      </c>
      <c r="Z59" s="679">
        <f t="shared" si="37"/>
        <v>7.4999999999999997E-2</v>
      </c>
      <c r="AA59" s="678">
        <v>0.1</v>
      </c>
      <c r="AB59" s="1539"/>
      <c r="AC59" s="504">
        <v>50</v>
      </c>
      <c r="AD59" s="678">
        <v>-0.08</v>
      </c>
      <c r="AE59" s="678">
        <v>9.9999999999999995E-7</v>
      </c>
      <c r="AF59" s="677" t="s">
        <v>291</v>
      </c>
      <c r="AG59" s="679">
        <f t="shared" si="38"/>
        <v>4.0000500000000001E-2</v>
      </c>
      <c r="AH59" s="678">
        <v>0.18</v>
      </c>
      <c r="AJ59" s="816">
        <v>50</v>
      </c>
      <c r="AK59" s="686">
        <f>49.82-AJ59</f>
        <v>-0.17999999999999972</v>
      </c>
      <c r="AL59" s="686">
        <v>-0.02</v>
      </c>
      <c r="AM59" s="684" t="s">
        <v>291</v>
      </c>
      <c r="AN59" s="685">
        <f t="shared" si="39"/>
        <v>7.9999999999999863E-2</v>
      </c>
      <c r="AO59" s="686">
        <v>0.65</v>
      </c>
      <c r="AP59" s="1459"/>
      <c r="AQ59" s="816">
        <v>50</v>
      </c>
      <c r="AR59" s="686">
        <f>-AQ59+49.46</f>
        <v>-0.53999999999999915</v>
      </c>
      <c r="AS59" s="686">
        <v>-0.05</v>
      </c>
      <c r="AT59" s="684" t="s">
        <v>291</v>
      </c>
      <c r="AU59" s="685">
        <f t="shared" si="40"/>
        <v>0.24499999999999958</v>
      </c>
      <c r="AV59" s="686">
        <v>0.57999999999999996</v>
      </c>
      <c r="AX59" s="817">
        <v>10</v>
      </c>
      <c r="AY59" s="692" t="s">
        <v>291</v>
      </c>
      <c r="AZ59" s="692" t="s">
        <v>291</v>
      </c>
      <c r="BA59" s="692" t="s">
        <v>291</v>
      </c>
      <c r="BB59" s="691">
        <f t="shared" si="41"/>
        <v>0</v>
      </c>
      <c r="BC59" s="692">
        <v>0</v>
      </c>
      <c r="BD59" s="1501"/>
      <c r="BE59" s="817">
        <v>10</v>
      </c>
      <c r="BF59" s="692" t="s">
        <v>291</v>
      </c>
      <c r="BG59" s="692" t="s">
        <v>291</v>
      </c>
      <c r="BH59" s="692" t="s">
        <v>291</v>
      </c>
      <c r="BI59" s="691">
        <f t="shared" si="42"/>
        <v>0</v>
      </c>
      <c r="BJ59" s="692">
        <v>0</v>
      </c>
    </row>
    <row r="60" spans="1:62" ht="12.75" customHeight="1" x14ac:dyDescent="0.2">
      <c r="A60" s="702">
        <v>100</v>
      </c>
      <c r="B60" s="668">
        <v>-7.0000000000000007E-2</v>
      </c>
      <c r="C60" s="667" t="s">
        <v>291</v>
      </c>
      <c r="D60" s="667" t="s">
        <v>291</v>
      </c>
      <c r="E60" s="669">
        <f t="shared" si="34"/>
        <v>0</v>
      </c>
      <c r="F60" s="668">
        <v>0.32</v>
      </c>
      <c r="G60" s="1587"/>
      <c r="H60" s="702">
        <v>100</v>
      </c>
      <c r="I60" s="668">
        <v>-0.08</v>
      </c>
      <c r="J60" s="667" t="s">
        <v>291</v>
      </c>
      <c r="K60" s="667" t="s">
        <v>291</v>
      </c>
      <c r="L60" s="669">
        <f t="shared" si="35"/>
        <v>0</v>
      </c>
      <c r="M60" s="668">
        <v>0.48</v>
      </c>
      <c r="O60" s="815">
        <v>0</v>
      </c>
      <c r="P60" s="673" t="s">
        <v>291</v>
      </c>
      <c r="Q60" s="673" t="s">
        <v>291</v>
      </c>
      <c r="R60" s="673" t="s">
        <v>291</v>
      </c>
      <c r="S60" s="674">
        <f t="shared" si="36"/>
        <v>0</v>
      </c>
      <c r="T60" s="674">
        <v>0.02</v>
      </c>
      <c r="V60" s="504">
        <v>100</v>
      </c>
      <c r="W60" s="678">
        <v>0.02</v>
      </c>
      <c r="X60" s="678">
        <v>-0.16</v>
      </c>
      <c r="Y60" s="677" t="s">
        <v>291</v>
      </c>
      <c r="Z60" s="679">
        <f t="shared" si="37"/>
        <v>0.09</v>
      </c>
      <c r="AA60" s="678">
        <v>0.1</v>
      </c>
      <c r="AB60" s="1539"/>
      <c r="AC60" s="504">
        <v>100</v>
      </c>
      <c r="AD60" s="678">
        <v>-0.05</v>
      </c>
      <c r="AE60" s="678">
        <v>9.9999999999999995E-7</v>
      </c>
      <c r="AF60" s="677" t="s">
        <v>291</v>
      </c>
      <c r="AG60" s="679">
        <f t="shared" si="38"/>
        <v>2.5000500000000002E-2</v>
      </c>
      <c r="AH60" s="678">
        <v>0.18</v>
      </c>
      <c r="AJ60" s="816">
        <v>100</v>
      </c>
      <c r="AK60" s="686">
        <f>99.74-AJ60</f>
        <v>-0.26000000000000512</v>
      </c>
      <c r="AL60" s="686">
        <v>-0.01</v>
      </c>
      <c r="AM60" s="684" t="s">
        <v>291</v>
      </c>
      <c r="AN60" s="685">
        <f t="shared" si="39"/>
        <v>0.12500000000000255</v>
      </c>
      <c r="AO60" s="686">
        <v>0.65</v>
      </c>
      <c r="AP60" s="1459"/>
      <c r="AQ60" s="816">
        <v>100</v>
      </c>
      <c r="AR60" s="686">
        <f>-AQ60+99.41</f>
        <v>-0.59000000000000341</v>
      </c>
      <c r="AS60" s="686">
        <v>-0.04</v>
      </c>
      <c r="AT60" s="684" t="s">
        <v>291</v>
      </c>
      <c r="AU60" s="685">
        <f t="shared" si="40"/>
        <v>0.27500000000000169</v>
      </c>
      <c r="AV60" s="686">
        <v>0.57999999999999996</v>
      </c>
      <c r="AX60" s="817">
        <v>20</v>
      </c>
      <c r="AY60" s="690" t="s">
        <v>291</v>
      </c>
      <c r="AZ60" s="690" t="s">
        <v>291</v>
      </c>
      <c r="BA60" s="690" t="s">
        <v>291</v>
      </c>
      <c r="BB60" s="691">
        <f t="shared" si="41"/>
        <v>0</v>
      </c>
      <c r="BC60" s="692">
        <v>0</v>
      </c>
      <c r="BD60" s="1501"/>
      <c r="BE60" s="817">
        <v>20</v>
      </c>
      <c r="BF60" s="690" t="s">
        <v>291</v>
      </c>
      <c r="BG60" s="690" t="s">
        <v>291</v>
      </c>
      <c r="BH60" s="690" t="s">
        <v>291</v>
      </c>
      <c r="BI60" s="691">
        <f t="shared" si="42"/>
        <v>0</v>
      </c>
      <c r="BJ60" s="692">
        <v>0</v>
      </c>
    </row>
    <row r="61" spans="1:62" ht="12.75" customHeight="1" x14ac:dyDescent="0.2">
      <c r="A61" s="702">
        <v>150</v>
      </c>
      <c r="B61" s="668">
        <v>-0.08</v>
      </c>
      <c r="C61" s="667" t="s">
        <v>291</v>
      </c>
      <c r="D61" s="667" t="s">
        <v>291</v>
      </c>
      <c r="E61" s="669">
        <f t="shared" si="34"/>
        <v>0</v>
      </c>
      <c r="F61" s="668">
        <v>0.32</v>
      </c>
      <c r="G61" s="1587"/>
      <c r="H61" s="702">
        <v>150</v>
      </c>
      <c r="I61" s="668">
        <v>-0.05</v>
      </c>
      <c r="J61" s="667" t="s">
        <v>291</v>
      </c>
      <c r="K61" s="667" t="s">
        <v>291</v>
      </c>
      <c r="L61" s="669">
        <f t="shared" si="35"/>
        <v>0</v>
      </c>
      <c r="M61" s="668">
        <v>0.48</v>
      </c>
      <c r="O61" s="502">
        <v>0</v>
      </c>
      <c r="P61" s="673" t="s">
        <v>291</v>
      </c>
      <c r="Q61" s="673" t="s">
        <v>291</v>
      </c>
      <c r="R61" s="673" t="s">
        <v>291</v>
      </c>
      <c r="S61" s="674">
        <f t="shared" si="36"/>
        <v>0</v>
      </c>
      <c r="T61" s="674">
        <v>0.02</v>
      </c>
      <c r="V61" s="504">
        <v>150</v>
      </c>
      <c r="W61" s="678">
        <v>0.06</v>
      </c>
      <c r="X61" s="678">
        <v>-0.14000000000000001</v>
      </c>
      <c r="Y61" s="677" t="s">
        <v>291</v>
      </c>
      <c r="Z61" s="679">
        <f t="shared" si="37"/>
        <v>0.1</v>
      </c>
      <c r="AA61" s="678">
        <v>0.1</v>
      </c>
      <c r="AB61" s="1539"/>
      <c r="AC61" s="504">
        <v>150</v>
      </c>
      <c r="AD61" s="678">
        <v>-0.03</v>
      </c>
      <c r="AE61" s="678">
        <v>9.9999999999999995E-7</v>
      </c>
      <c r="AF61" s="677" t="s">
        <v>291</v>
      </c>
      <c r="AG61" s="679">
        <f t="shared" si="38"/>
        <v>1.50005E-2</v>
      </c>
      <c r="AH61" s="678">
        <v>0.18</v>
      </c>
      <c r="AJ61" s="816">
        <v>150</v>
      </c>
      <c r="AK61" s="686">
        <f>149.66-AJ61</f>
        <v>-0.34000000000000341</v>
      </c>
      <c r="AL61" s="686">
        <v>-0.01</v>
      </c>
      <c r="AM61" s="684" t="s">
        <v>291</v>
      </c>
      <c r="AN61" s="685">
        <f t="shared" si="39"/>
        <v>0.1650000000000017</v>
      </c>
      <c r="AO61" s="686">
        <v>0.65</v>
      </c>
      <c r="AP61" s="1459"/>
      <c r="AQ61" s="816">
        <v>150</v>
      </c>
      <c r="AR61" s="686">
        <f>-AQ61+149.37</f>
        <v>-0.62999999999999545</v>
      </c>
      <c r="AS61" s="686">
        <v>-0.02</v>
      </c>
      <c r="AT61" s="684" t="s">
        <v>291</v>
      </c>
      <c r="AU61" s="685">
        <f t="shared" si="40"/>
        <v>0.30499999999999772</v>
      </c>
      <c r="AV61" s="686">
        <v>0.57999999999999996</v>
      </c>
      <c r="AX61" s="817">
        <v>50</v>
      </c>
      <c r="AY61" s="690" t="s">
        <v>291</v>
      </c>
      <c r="AZ61" s="690" t="s">
        <v>291</v>
      </c>
      <c r="BA61" s="690" t="s">
        <v>291</v>
      </c>
      <c r="BB61" s="691">
        <f t="shared" si="41"/>
        <v>0</v>
      </c>
      <c r="BC61" s="692">
        <v>0</v>
      </c>
      <c r="BD61" s="1501"/>
      <c r="BE61" s="817">
        <v>50</v>
      </c>
      <c r="BF61" s="690" t="s">
        <v>291</v>
      </c>
      <c r="BG61" s="690" t="s">
        <v>291</v>
      </c>
      <c r="BH61" s="690" t="s">
        <v>291</v>
      </c>
      <c r="BI61" s="691">
        <f t="shared" si="42"/>
        <v>0</v>
      </c>
      <c r="BJ61" s="692">
        <v>0</v>
      </c>
    </row>
    <row r="62" spans="1:62" ht="12.75" customHeight="1" x14ac:dyDescent="0.2">
      <c r="A62" s="702">
        <v>200</v>
      </c>
      <c r="B62" s="668">
        <v>-0.08</v>
      </c>
      <c r="C62" s="667" t="s">
        <v>291</v>
      </c>
      <c r="D62" s="667" t="s">
        <v>291</v>
      </c>
      <c r="E62" s="669">
        <f t="shared" si="34"/>
        <v>0</v>
      </c>
      <c r="F62" s="668">
        <v>0.32</v>
      </c>
      <c r="G62" s="1587"/>
      <c r="H62" s="702">
        <v>200</v>
      </c>
      <c r="I62" s="668">
        <v>-0.03</v>
      </c>
      <c r="J62" s="667" t="s">
        <v>291</v>
      </c>
      <c r="K62" s="667" t="s">
        <v>291</v>
      </c>
      <c r="L62" s="669">
        <f t="shared" si="35"/>
        <v>0</v>
      </c>
      <c r="M62" s="668">
        <v>0.48</v>
      </c>
      <c r="O62" s="502">
        <v>0</v>
      </c>
      <c r="P62" s="673" t="s">
        <v>291</v>
      </c>
      <c r="Q62" s="673" t="s">
        <v>291</v>
      </c>
      <c r="R62" s="673" t="s">
        <v>291</v>
      </c>
      <c r="S62" s="674">
        <f t="shared" si="36"/>
        <v>0</v>
      </c>
      <c r="T62" s="674">
        <v>0.02</v>
      </c>
      <c r="V62" s="504">
        <v>200</v>
      </c>
      <c r="W62" s="678">
        <v>0.09</v>
      </c>
      <c r="X62" s="678">
        <v>-0.12</v>
      </c>
      <c r="Y62" s="677" t="s">
        <v>291</v>
      </c>
      <c r="Z62" s="679">
        <f t="shared" si="37"/>
        <v>0.105</v>
      </c>
      <c r="AA62" s="678">
        <v>0.1</v>
      </c>
      <c r="AB62" s="1539"/>
      <c r="AC62" s="504">
        <v>200</v>
      </c>
      <c r="AD62" s="678">
        <v>9.9999999999999995E-7</v>
      </c>
      <c r="AE62" s="678">
        <v>9.9999999999999995E-7</v>
      </c>
      <c r="AF62" s="677" t="s">
        <v>291</v>
      </c>
      <c r="AG62" s="679">
        <f t="shared" si="38"/>
        <v>0</v>
      </c>
      <c r="AH62" s="678">
        <v>0.18</v>
      </c>
      <c r="AJ62" s="816">
        <v>200</v>
      </c>
      <c r="AK62" s="686">
        <f>199.57-AJ62</f>
        <v>-0.43000000000000682</v>
      </c>
      <c r="AL62" s="686">
        <v>9.9999999999999995E-7</v>
      </c>
      <c r="AM62" s="684" t="s">
        <v>291</v>
      </c>
      <c r="AN62" s="685">
        <f t="shared" si="39"/>
        <v>0.2150005000000034</v>
      </c>
      <c r="AO62" s="686">
        <v>0.65</v>
      </c>
      <c r="AP62" s="1459"/>
      <c r="AQ62" s="816">
        <v>200</v>
      </c>
      <c r="AR62" s="686">
        <f>-AQ62+199.32</f>
        <v>-0.68000000000000682</v>
      </c>
      <c r="AS62" s="686">
        <v>-0.01</v>
      </c>
      <c r="AT62" s="684" t="s">
        <v>291</v>
      </c>
      <c r="AU62" s="685">
        <f t="shared" si="40"/>
        <v>0.33500000000000341</v>
      </c>
      <c r="AV62" s="686">
        <v>0.57999999999999996</v>
      </c>
      <c r="AX62" s="817">
        <v>100</v>
      </c>
      <c r="AY62" s="690" t="s">
        <v>291</v>
      </c>
      <c r="AZ62" s="690" t="s">
        <v>291</v>
      </c>
      <c r="BA62" s="690" t="s">
        <v>291</v>
      </c>
      <c r="BB62" s="691">
        <f t="shared" si="41"/>
        <v>0</v>
      </c>
      <c r="BC62" s="692">
        <v>0</v>
      </c>
      <c r="BD62" s="1501"/>
      <c r="BE62" s="817">
        <v>100</v>
      </c>
      <c r="BF62" s="690" t="s">
        <v>291</v>
      </c>
      <c r="BG62" s="690" t="s">
        <v>291</v>
      </c>
      <c r="BH62" s="690" t="s">
        <v>291</v>
      </c>
      <c r="BI62" s="691">
        <f t="shared" si="42"/>
        <v>0</v>
      </c>
      <c r="BJ62" s="692">
        <v>0</v>
      </c>
    </row>
    <row r="63" spans="1:62" ht="12.75" customHeight="1" x14ac:dyDescent="0.2">
      <c r="A63" s="702">
        <v>250</v>
      </c>
      <c r="B63" s="668">
        <v>-0.09</v>
      </c>
      <c r="C63" s="667" t="s">
        <v>291</v>
      </c>
      <c r="D63" s="667" t="s">
        <v>291</v>
      </c>
      <c r="E63" s="669">
        <f t="shared" si="34"/>
        <v>0</v>
      </c>
      <c r="F63" s="668">
        <v>0.32</v>
      </c>
      <c r="G63" s="1587"/>
      <c r="H63" s="702">
        <v>250</v>
      </c>
      <c r="I63" s="668">
        <v>9.9999999999999995E-7</v>
      </c>
      <c r="J63" s="667" t="s">
        <v>291</v>
      </c>
      <c r="K63" s="667" t="s">
        <v>291</v>
      </c>
      <c r="L63" s="669">
        <f t="shared" si="35"/>
        <v>0</v>
      </c>
      <c r="M63" s="668">
        <v>0.48</v>
      </c>
      <c r="O63" s="502">
        <v>0</v>
      </c>
      <c r="P63" s="673" t="s">
        <v>291</v>
      </c>
      <c r="Q63" s="673" t="s">
        <v>291</v>
      </c>
      <c r="R63" s="673" t="s">
        <v>291</v>
      </c>
      <c r="S63" s="674">
        <f t="shared" si="36"/>
        <v>0</v>
      </c>
      <c r="T63" s="674">
        <v>0.02</v>
      </c>
      <c r="V63" s="504">
        <v>250</v>
      </c>
      <c r="W63" s="678">
        <v>0.12</v>
      </c>
      <c r="X63" s="678">
        <v>-7.0000000000000007E-2</v>
      </c>
      <c r="Y63" s="677" t="s">
        <v>291</v>
      </c>
      <c r="Z63" s="679">
        <f t="shared" si="37"/>
        <v>9.5000000000000001E-2</v>
      </c>
      <c r="AA63" s="678">
        <v>0.1</v>
      </c>
      <c r="AB63" s="1539"/>
      <c r="AC63" s="504">
        <v>250</v>
      </c>
      <c r="AD63" s="678">
        <v>0.02</v>
      </c>
      <c r="AE63" s="678">
        <v>9.9999999999999995E-7</v>
      </c>
      <c r="AF63" s="677" t="s">
        <v>291</v>
      </c>
      <c r="AG63" s="679">
        <f t="shared" si="38"/>
        <v>9.9994999999999997E-3</v>
      </c>
      <c r="AH63" s="678">
        <v>0.18</v>
      </c>
      <c r="AJ63" s="816">
        <v>250</v>
      </c>
      <c r="AK63" s="686">
        <f>249.49-AJ63</f>
        <v>-0.50999999999999091</v>
      </c>
      <c r="AL63" s="686">
        <v>9.9999999999999995E-7</v>
      </c>
      <c r="AM63" s="684" t="s">
        <v>291</v>
      </c>
      <c r="AN63" s="685">
        <f t="shared" si="39"/>
        <v>0.25500049999999547</v>
      </c>
      <c r="AO63" s="686">
        <v>0.65</v>
      </c>
      <c r="AP63" s="1459"/>
      <c r="AQ63" s="816">
        <v>250</v>
      </c>
      <c r="AR63" s="686">
        <f>-AQ63+249.28</f>
        <v>-0.71999999999999886</v>
      </c>
      <c r="AS63" s="686">
        <v>0.03</v>
      </c>
      <c r="AT63" s="684" t="s">
        <v>291</v>
      </c>
      <c r="AU63" s="685">
        <f t="shared" si="40"/>
        <v>0.37499999999999944</v>
      </c>
      <c r="AV63" s="686">
        <v>0.57999999999999996</v>
      </c>
      <c r="AX63" s="817">
        <v>200</v>
      </c>
      <c r="AY63" s="690" t="s">
        <v>291</v>
      </c>
      <c r="AZ63" s="690" t="s">
        <v>291</v>
      </c>
      <c r="BA63" s="690" t="s">
        <v>291</v>
      </c>
      <c r="BB63" s="691">
        <f t="shared" si="41"/>
        <v>0</v>
      </c>
      <c r="BC63" s="692">
        <v>0</v>
      </c>
      <c r="BD63" s="1501"/>
      <c r="BE63" s="817">
        <v>200</v>
      </c>
      <c r="BF63" s="690" t="s">
        <v>291</v>
      </c>
      <c r="BG63" s="690" t="s">
        <v>291</v>
      </c>
      <c r="BH63" s="690" t="s">
        <v>291</v>
      </c>
      <c r="BI63" s="691">
        <f t="shared" si="42"/>
        <v>0</v>
      </c>
      <c r="BJ63" s="692">
        <v>0</v>
      </c>
    </row>
    <row r="64" spans="1:62" ht="13.5" customHeight="1" x14ac:dyDescent="0.2">
      <c r="A64" s="702">
        <v>300</v>
      </c>
      <c r="B64" s="668">
        <v>-0.09</v>
      </c>
      <c r="C64" s="667" t="s">
        <v>291</v>
      </c>
      <c r="D64" s="667" t="s">
        <v>291</v>
      </c>
      <c r="E64" s="669">
        <f t="shared" si="34"/>
        <v>0</v>
      </c>
      <c r="F64" s="668">
        <v>0.32</v>
      </c>
      <c r="G64" s="1587"/>
      <c r="H64" s="702">
        <v>300</v>
      </c>
      <c r="I64" s="668">
        <v>0.03</v>
      </c>
      <c r="J64" s="667" t="s">
        <v>291</v>
      </c>
      <c r="K64" s="667" t="s">
        <v>291</v>
      </c>
      <c r="L64" s="669">
        <f t="shared" si="35"/>
        <v>0</v>
      </c>
      <c r="M64" s="668">
        <v>0.48</v>
      </c>
      <c r="O64" s="815">
        <v>0</v>
      </c>
      <c r="P64" s="673" t="s">
        <v>291</v>
      </c>
      <c r="Q64" s="673" t="s">
        <v>291</v>
      </c>
      <c r="R64" s="673" t="s">
        <v>291</v>
      </c>
      <c r="S64" s="674">
        <f t="shared" si="36"/>
        <v>0</v>
      </c>
      <c r="T64" s="674">
        <v>0.02</v>
      </c>
      <c r="V64" s="504">
        <v>300</v>
      </c>
      <c r="W64" s="678">
        <v>0.15</v>
      </c>
      <c r="X64" s="678">
        <v>7.0000000000000007E-2</v>
      </c>
      <c r="Y64" s="677" t="s">
        <v>291</v>
      </c>
      <c r="Z64" s="679">
        <f t="shared" si="37"/>
        <v>3.9999999999999994E-2</v>
      </c>
      <c r="AA64" s="678">
        <v>0.1</v>
      </c>
      <c r="AB64" s="1539"/>
      <c r="AC64" s="504">
        <v>300</v>
      </c>
      <c r="AD64" s="678">
        <v>0.05</v>
      </c>
      <c r="AE64" s="678">
        <v>0.01</v>
      </c>
      <c r="AF64" s="677" t="s">
        <v>291</v>
      </c>
      <c r="AG64" s="679">
        <f t="shared" si="38"/>
        <v>0.02</v>
      </c>
      <c r="AH64" s="678">
        <v>0.18</v>
      </c>
      <c r="AJ64" s="816">
        <v>300</v>
      </c>
      <c r="AK64" s="686">
        <f>299.41-AJ64</f>
        <v>-0.58999999999997499</v>
      </c>
      <c r="AL64" s="686">
        <v>0.01</v>
      </c>
      <c r="AM64" s="684" t="s">
        <v>291</v>
      </c>
      <c r="AN64" s="685">
        <f t="shared" si="39"/>
        <v>0.2999999999999875</v>
      </c>
      <c r="AO64" s="686">
        <v>0.65</v>
      </c>
      <c r="AP64" s="1459"/>
      <c r="AQ64" s="816">
        <v>300</v>
      </c>
      <c r="AR64" s="686">
        <f>-AQ64+299.23</f>
        <v>-0.76999999999998181</v>
      </c>
      <c r="AS64" s="686">
        <v>0.06</v>
      </c>
      <c r="AT64" s="684" t="s">
        <v>291</v>
      </c>
      <c r="AU64" s="685">
        <f t="shared" si="40"/>
        <v>0.41499999999999093</v>
      </c>
      <c r="AV64" s="686">
        <v>0.57999999999999996</v>
      </c>
      <c r="AX64" s="817">
        <v>500</v>
      </c>
      <c r="AY64" s="690" t="s">
        <v>291</v>
      </c>
      <c r="AZ64" s="690" t="s">
        <v>291</v>
      </c>
      <c r="BA64" s="690" t="s">
        <v>291</v>
      </c>
      <c r="BB64" s="691">
        <f t="shared" si="41"/>
        <v>0</v>
      </c>
      <c r="BC64" s="692">
        <v>0</v>
      </c>
      <c r="BD64" s="1501"/>
      <c r="BE64" s="817">
        <v>500</v>
      </c>
      <c r="BF64" s="690" t="s">
        <v>291</v>
      </c>
      <c r="BG64" s="690" t="s">
        <v>291</v>
      </c>
      <c r="BH64" s="690" t="s">
        <v>291</v>
      </c>
      <c r="BI64" s="691">
        <f t="shared" si="42"/>
        <v>0</v>
      </c>
      <c r="BJ64" s="692">
        <v>0</v>
      </c>
    </row>
    <row r="65" spans="1:62" ht="13.5" customHeight="1" x14ac:dyDescent="0.2">
      <c r="A65" s="702">
        <v>600</v>
      </c>
      <c r="B65" s="668">
        <v>-0.09</v>
      </c>
      <c r="C65" s="667" t="s">
        <v>291</v>
      </c>
      <c r="D65" s="667" t="s">
        <v>291</v>
      </c>
      <c r="E65" s="669">
        <f t="shared" si="34"/>
        <v>0</v>
      </c>
      <c r="F65" s="668">
        <v>0.32</v>
      </c>
      <c r="G65" s="1587"/>
      <c r="H65" s="702">
        <v>600</v>
      </c>
      <c r="I65" s="668">
        <v>0.03</v>
      </c>
      <c r="J65" s="667" t="s">
        <v>291</v>
      </c>
      <c r="K65" s="667" t="s">
        <v>291</v>
      </c>
      <c r="L65" s="669">
        <f t="shared" si="35"/>
        <v>0</v>
      </c>
      <c r="M65" s="668">
        <v>0.48</v>
      </c>
      <c r="O65" s="815">
        <v>0</v>
      </c>
      <c r="P65" s="673" t="s">
        <v>291</v>
      </c>
      <c r="Q65" s="673" t="s">
        <v>291</v>
      </c>
      <c r="R65" s="673" t="s">
        <v>291</v>
      </c>
      <c r="S65" s="674">
        <f t="shared" si="36"/>
        <v>0</v>
      </c>
      <c r="T65" s="674">
        <v>0.02</v>
      </c>
      <c r="V65" s="504">
        <v>500</v>
      </c>
      <c r="W65" s="678">
        <v>0.27</v>
      </c>
      <c r="X65" s="678">
        <v>7.0000000000000007E-2</v>
      </c>
      <c r="Y65" s="677" t="s">
        <v>291</v>
      </c>
      <c r="Z65" s="679">
        <f t="shared" si="37"/>
        <v>0.1</v>
      </c>
      <c r="AA65" s="678">
        <v>0.1</v>
      </c>
      <c r="AB65" s="1539"/>
      <c r="AC65" s="504">
        <v>500</v>
      </c>
      <c r="AD65" s="678">
        <v>0.14000000000000001</v>
      </c>
      <c r="AE65" s="678">
        <v>0.01</v>
      </c>
      <c r="AF65" s="677" t="s">
        <v>291</v>
      </c>
      <c r="AG65" s="679">
        <f t="shared" si="38"/>
        <v>6.5000000000000002E-2</v>
      </c>
      <c r="AH65" s="678">
        <v>0.18</v>
      </c>
      <c r="AJ65" s="816">
        <v>500</v>
      </c>
      <c r="AK65" s="686">
        <f>499.08-AJ65</f>
        <v>-0.92000000000001592</v>
      </c>
      <c r="AL65" s="686">
        <v>0.03</v>
      </c>
      <c r="AM65" s="684" t="s">
        <v>291</v>
      </c>
      <c r="AN65" s="685">
        <f t="shared" si="39"/>
        <v>0.47500000000000797</v>
      </c>
      <c r="AO65" s="686">
        <v>0.65</v>
      </c>
      <c r="AP65" s="1459"/>
      <c r="AQ65" s="816">
        <v>500</v>
      </c>
      <c r="AR65" s="686">
        <f>-AQ65+499.05</f>
        <v>-0.94999999999998863</v>
      </c>
      <c r="AS65" s="686">
        <v>0.19</v>
      </c>
      <c r="AT65" s="684" t="s">
        <v>291</v>
      </c>
      <c r="AU65" s="685">
        <f t="shared" si="40"/>
        <v>0.56999999999999429</v>
      </c>
      <c r="AV65" s="686">
        <v>0.57999999999999996</v>
      </c>
      <c r="AX65" s="817">
        <v>600</v>
      </c>
      <c r="AY65" s="690" t="s">
        <v>291</v>
      </c>
      <c r="AZ65" s="690" t="s">
        <v>291</v>
      </c>
      <c r="BA65" s="690" t="s">
        <v>291</v>
      </c>
      <c r="BB65" s="691">
        <f t="shared" si="41"/>
        <v>0</v>
      </c>
      <c r="BC65" s="692">
        <v>0</v>
      </c>
      <c r="BD65" s="1501"/>
      <c r="BE65" s="817">
        <v>600</v>
      </c>
      <c r="BF65" s="690" t="s">
        <v>291</v>
      </c>
      <c r="BG65" s="690" t="s">
        <v>291</v>
      </c>
      <c r="BH65" s="690" t="s">
        <v>291</v>
      </c>
      <c r="BI65" s="691">
        <f t="shared" si="42"/>
        <v>0</v>
      </c>
      <c r="BJ65" s="692">
        <v>0</v>
      </c>
    </row>
    <row r="66" spans="1:62" ht="13.5" customHeight="1" x14ac:dyDescent="0.2">
      <c r="A66" s="702">
        <v>650</v>
      </c>
      <c r="B66" s="668">
        <v>-0.09</v>
      </c>
      <c r="C66" s="667" t="s">
        <v>291</v>
      </c>
      <c r="D66" s="667" t="s">
        <v>291</v>
      </c>
      <c r="E66" s="669">
        <f t="shared" si="34"/>
        <v>0</v>
      </c>
      <c r="F66" s="668">
        <v>0.32</v>
      </c>
      <c r="G66" s="1587"/>
      <c r="H66" s="702">
        <v>650</v>
      </c>
      <c r="I66" s="668">
        <v>0.03</v>
      </c>
      <c r="J66" s="667" t="s">
        <v>291</v>
      </c>
      <c r="K66" s="667" t="s">
        <v>291</v>
      </c>
      <c r="L66" s="669">
        <f t="shared" si="35"/>
        <v>0</v>
      </c>
      <c r="M66" s="668">
        <v>0.48</v>
      </c>
      <c r="O66" s="815">
        <v>0</v>
      </c>
      <c r="P66" s="673" t="s">
        <v>291</v>
      </c>
      <c r="Q66" s="673" t="s">
        <v>291</v>
      </c>
      <c r="R66" s="673" t="s">
        <v>291</v>
      </c>
      <c r="S66" s="674">
        <f t="shared" si="36"/>
        <v>0</v>
      </c>
      <c r="T66" s="674">
        <v>0.02</v>
      </c>
      <c r="V66" s="504">
        <v>600</v>
      </c>
      <c r="W66" s="678">
        <v>0.27</v>
      </c>
      <c r="X66" s="678">
        <v>7.0000000000000007E-2</v>
      </c>
      <c r="Y66" s="677" t="s">
        <v>291</v>
      </c>
      <c r="Z66" s="679">
        <f t="shared" si="37"/>
        <v>0.1</v>
      </c>
      <c r="AA66" s="678">
        <v>0.1</v>
      </c>
      <c r="AB66" s="1539"/>
      <c r="AC66" s="504">
        <v>600</v>
      </c>
      <c r="AD66" s="678">
        <v>0.14000000000000001</v>
      </c>
      <c r="AE66" s="678">
        <v>0.01</v>
      </c>
      <c r="AF66" s="677" t="s">
        <v>291</v>
      </c>
      <c r="AG66" s="679">
        <f t="shared" si="38"/>
        <v>6.5000000000000002E-2</v>
      </c>
      <c r="AH66" s="678">
        <v>0.18</v>
      </c>
      <c r="AJ66" s="816">
        <v>600</v>
      </c>
      <c r="AK66" s="686">
        <f>-AJ66+598.91</f>
        <v>-1.0900000000000318</v>
      </c>
      <c r="AL66" s="686">
        <v>0.03</v>
      </c>
      <c r="AM66" s="684" t="s">
        <v>291</v>
      </c>
      <c r="AN66" s="685">
        <f t="shared" si="39"/>
        <v>0.56000000000001593</v>
      </c>
      <c r="AO66" s="686">
        <v>0.65</v>
      </c>
      <c r="AP66" s="1459"/>
      <c r="AQ66" s="816">
        <v>600</v>
      </c>
      <c r="AR66" s="686">
        <f>-AQ66+598.96</f>
        <v>-1.0399999999999636</v>
      </c>
      <c r="AS66" s="686">
        <v>9.9999999999999995E-7</v>
      </c>
      <c r="AT66" s="684" t="s">
        <v>291</v>
      </c>
      <c r="AU66" s="685">
        <f t="shared" si="40"/>
        <v>0.52000049999998177</v>
      </c>
      <c r="AV66" s="686">
        <v>0.57999999999999996</v>
      </c>
      <c r="AX66" s="817">
        <v>650</v>
      </c>
      <c r="AY66" s="690" t="s">
        <v>291</v>
      </c>
      <c r="AZ66" s="690" t="s">
        <v>291</v>
      </c>
      <c r="BA66" s="690" t="s">
        <v>291</v>
      </c>
      <c r="BB66" s="691">
        <f t="shared" si="41"/>
        <v>0</v>
      </c>
      <c r="BC66" s="692">
        <v>0</v>
      </c>
      <c r="BD66" s="1501"/>
      <c r="BE66" s="817">
        <v>650</v>
      </c>
      <c r="BF66" s="690" t="s">
        <v>291</v>
      </c>
      <c r="BG66" s="690" t="s">
        <v>291</v>
      </c>
      <c r="BH66" s="690" t="s">
        <v>291</v>
      </c>
      <c r="BI66" s="691">
        <f t="shared" si="42"/>
        <v>0</v>
      </c>
      <c r="BJ66" s="692">
        <v>0</v>
      </c>
    </row>
    <row r="67" spans="1:62" ht="13.5" customHeight="1" x14ac:dyDescent="0.2">
      <c r="A67" s="1537"/>
      <c r="B67" s="1537"/>
      <c r="C67" s="1537"/>
      <c r="D67" s="1537"/>
      <c r="E67" s="1537"/>
      <c r="F67" s="818"/>
      <c r="G67" s="1587"/>
      <c r="H67" s="1533"/>
      <c r="I67" s="1533"/>
      <c r="J67" s="1533"/>
      <c r="K67" s="1533"/>
      <c r="L67" s="1533"/>
      <c r="M67" s="818"/>
      <c r="O67" s="819"/>
      <c r="P67" s="819"/>
      <c r="Q67" s="819"/>
      <c r="R67" s="819"/>
      <c r="S67" s="819"/>
      <c r="T67" s="819"/>
      <c r="V67" s="1538"/>
      <c r="W67" s="1538"/>
      <c r="X67" s="1538"/>
      <c r="Y67" s="1538"/>
      <c r="Z67" s="1538"/>
      <c r="AA67" s="820"/>
      <c r="AB67" s="1539"/>
      <c r="AC67" s="1529"/>
      <c r="AD67" s="1529"/>
      <c r="AE67" s="1529"/>
      <c r="AF67" s="1529"/>
      <c r="AG67" s="1529"/>
      <c r="AH67" s="820"/>
      <c r="AJ67" s="1503"/>
      <c r="AK67" s="1503"/>
      <c r="AL67" s="1503"/>
      <c r="AM67" s="1503"/>
      <c r="AN67" s="1503"/>
      <c r="AO67" s="821"/>
      <c r="AP67" s="1459"/>
      <c r="AQ67" s="1489"/>
      <c r="AR67" s="1489"/>
      <c r="AS67" s="1489"/>
      <c r="AT67" s="1489"/>
      <c r="AU67" s="1489"/>
      <c r="AV67" s="821"/>
      <c r="AX67" s="1504"/>
      <c r="AY67" s="1504"/>
      <c r="AZ67" s="1504"/>
      <c r="BA67" s="1504"/>
      <c r="BB67" s="1504"/>
      <c r="BC67" s="796"/>
      <c r="BD67" s="1501"/>
      <c r="BE67" s="1490"/>
      <c r="BF67" s="1490"/>
      <c r="BG67" s="1490"/>
      <c r="BH67" s="1490"/>
      <c r="BI67" s="1490"/>
      <c r="BJ67" s="796"/>
    </row>
    <row r="68" spans="1:62" ht="15.75" customHeight="1" x14ac:dyDescent="0.25">
      <c r="A68" s="1535" t="s">
        <v>396</v>
      </c>
      <c r="B68" s="1535"/>
      <c r="C68" s="1535"/>
      <c r="D68" s="1535"/>
      <c r="E68" s="1486" t="s">
        <v>287</v>
      </c>
      <c r="F68" s="1487" t="s">
        <v>391</v>
      </c>
      <c r="G68" s="1587"/>
      <c r="H68" s="1535" t="s">
        <v>397</v>
      </c>
      <c r="I68" s="1535"/>
      <c r="J68" s="1535"/>
      <c r="K68" s="1535"/>
      <c r="L68" s="1486" t="s">
        <v>287</v>
      </c>
      <c r="M68" s="1487" t="s">
        <v>393</v>
      </c>
      <c r="O68" s="1593">
        <v>5</v>
      </c>
      <c r="P68" s="1594"/>
      <c r="Q68" s="1594"/>
      <c r="R68" s="1594"/>
      <c r="S68" s="1594"/>
      <c r="T68" s="1595"/>
      <c r="V68" s="1540" t="s">
        <v>396</v>
      </c>
      <c r="W68" s="1540"/>
      <c r="X68" s="1540"/>
      <c r="Y68" s="1540"/>
      <c r="Z68" s="1488" t="s">
        <v>287</v>
      </c>
      <c r="AA68" s="1469" t="s">
        <v>393</v>
      </c>
      <c r="AB68" s="1539"/>
      <c r="AC68" s="1540" t="s">
        <v>397</v>
      </c>
      <c r="AD68" s="1540"/>
      <c r="AE68" s="1540"/>
      <c r="AF68" s="1540"/>
      <c r="AG68" s="1488" t="s">
        <v>287</v>
      </c>
      <c r="AH68" s="1469" t="s">
        <v>393</v>
      </c>
      <c r="AJ68" s="1492" t="s">
        <v>396</v>
      </c>
      <c r="AK68" s="1492"/>
      <c r="AL68" s="1492"/>
      <c r="AM68" s="1492"/>
      <c r="AN68" s="1403" t="s">
        <v>287</v>
      </c>
      <c r="AO68" s="1414" t="s">
        <v>393</v>
      </c>
      <c r="AP68" s="1459"/>
      <c r="AQ68" s="1494" t="s">
        <v>397</v>
      </c>
      <c r="AR68" s="1495"/>
      <c r="AS68" s="1495"/>
      <c r="AT68" s="1496"/>
      <c r="AU68" s="1403" t="s">
        <v>287</v>
      </c>
      <c r="AV68" s="1414" t="s">
        <v>393</v>
      </c>
      <c r="AX68" s="1427" t="s">
        <v>396</v>
      </c>
      <c r="AY68" s="1427"/>
      <c r="AZ68" s="1427"/>
      <c r="BA68" s="1427"/>
      <c r="BB68" s="1413" t="s">
        <v>287</v>
      </c>
      <c r="BC68" s="1415" t="s">
        <v>393</v>
      </c>
      <c r="BD68" s="1501"/>
      <c r="BE68" s="1427" t="s">
        <v>397</v>
      </c>
      <c r="BF68" s="1427"/>
      <c r="BG68" s="1427"/>
      <c r="BH68" s="1427"/>
      <c r="BI68" s="1413" t="s">
        <v>287</v>
      </c>
      <c r="BJ68" s="1415" t="s">
        <v>393</v>
      </c>
    </row>
    <row r="69" spans="1:62" ht="12.75" customHeight="1" x14ac:dyDescent="0.2">
      <c r="A69" s="752" t="s">
        <v>164</v>
      </c>
      <c r="B69" s="1486" t="s">
        <v>286</v>
      </c>
      <c r="C69" s="1486"/>
      <c r="D69" s="1486"/>
      <c r="E69" s="1486"/>
      <c r="F69" s="1487"/>
      <c r="G69" s="1587"/>
      <c r="H69" s="752" t="s">
        <v>164</v>
      </c>
      <c r="I69" s="1486" t="s">
        <v>286</v>
      </c>
      <c r="J69" s="1486"/>
      <c r="K69" s="1486"/>
      <c r="L69" s="1486"/>
      <c r="M69" s="1487"/>
      <c r="O69" s="1596"/>
      <c r="P69" s="1597"/>
      <c r="Q69" s="1597"/>
      <c r="R69" s="1597"/>
      <c r="S69" s="1597"/>
      <c r="T69" s="1598"/>
      <c r="V69" s="798" t="s">
        <v>164</v>
      </c>
      <c r="W69" s="1488" t="s">
        <v>286</v>
      </c>
      <c r="X69" s="1488"/>
      <c r="Y69" s="1488"/>
      <c r="Z69" s="1488"/>
      <c r="AA69" s="1469"/>
      <c r="AB69" s="1539"/>
      <c r="AC69" s="798" t="s">
        <v>164</v>
      </c>
      <c r="AD69" s="1488" t="s">
        <v>286</v>
      </c>
      <c r="AE69" s="1488"/>
      <c r="AF69" s="1488"/>
      <c r="AG69" s="1488"/>
      <c r="AH69" s="1469"/>
      <c r="AJ69" s="799" t="s">
        <v>164</v>
      </c>
      <c r="AK69" s="1403" t="s">
        <v>286</v>
      </c>
      <c r="AL69" s="1403"/>
      <c r="AM69" s="1403"/>
      <c r="AN69" s="1403"/>
      <c r="AO69" s="1414"/>
      <c r="AP69" s="1459"/>
      <c r="AQ69" s="799" t="s">
        <v>164</v>
      </c>
      <c r="AR69" s="1497" t="s">
        <v>286</v>
      </c>
      <c r="AS69" s="1498"/>
      <c r="AT69" s="1499"/>
      <c r="AU69" s="1403"/>
      <c r="AV69" s="1414"/>
      <c r="AX69" s="800" t="s">
        <v>164</v>
      </c>
      <c r="AY69" s="1413" t="s">
        <v>286</v>
      </c>
      <c r="AZ69" s="1413"/>
      <c r="BA69" s="1413"/>
      <c r="BB69" s="1413"/>
      <c r="BC69" s="1415"/>
      <c r="BD69" s="1501"/>
      <c r="BE69" s="800" t="s">
        <v>164</v>
      </c>
      <c r="BF69" s="1413" t="s">
        <v>286</v>
      </c>
      <c r="BG69" s="1413"/>
      <c r="BH69" s="1413"/>
      <c r="BI69" s="1413"/>
      <c r="BJ69" s="1415"/>
    </row>
    <row r="70" spans="1:62" ht="15" customHeight="1" x14ac:dyDescent="0.2">
      <c r="A70" s="753" t="s">
        <v>395</v>
      </c>
      <c r="B70" s="801">
        <f>B56</f>
        <v>2018</v>
      </c>
      <c r="C70" s="801" t="str">
        <f>C56</f>
        <v>-</v>
      </c>
      <c r="D70" s="801" t="str">
        <f>D56</f>
        <v>-</v>
      </c>
      <c r="E70" s="1486"/>
      <c r="F70" s="1487"/>
      <c r="G70" s="1587"/>
      <c r="H70" s="753" t="s">
        <v>395</v>
      </c>
      <c r="I70" s="801">
        <f>B56</f>
        <v>2018</v>
      </c>
      <c r="J70" s="801" t="str">
        <f>C56</f>
        <v>-</v>
      </c>
      <c r="K70" s="801" t="str">
        <f>D56</f>
        <v>-</v>
      </c>
      <c r="L70" s="1486"/>
      <c r="M70" s="1487"/>
      <c r="O70" s="1596"/>
      <c r="P70" s="1597"/>
      <c r="Q70" s="1597"/>
      <c r="R70" s="1597"/>
      <c r="S70" s="1597"/>
      <c r="T70" s="1598"/>
      <c r="V70" s="806" t="s">
        <v>395</v>
      </c>
      <c r="W70" s="807">
        <f>W56</f>
        <v>2021</v>
      </c>
      <c r="X70" s="807">
        <f>X56</f>
        <v>2019</v>
      </c>
      <c r="Y70" s="807" t="str">
        <f>Y56</f>
        <v>-</v>
      </c>
      <c r="Z70" s="1488"/>
      <c r="AA70" s="1469"/>
      <c r="AB70" s="1539"/>
      <c r="AC70" s="806" t="s">
        <v>395</v>
      </c>
      <c r="AD70" s="807">
        <f>W56</f>
        <v>2021</v>
      </c>
      <c r="AE70" s="807">
        <f>X56</f>
        <v>2019</v>
      </c>
      <c r="AF70" s="807" t="str">
        <f>Y56</f>
        <v>-</v>
      </c>
      <c r="AG70" s="1488"/>
      <c r="AH70" s="1469"/>
      <c r="AJ70" s="809" t="s">
        <v>395</v>
      </c>
      <c r="AK70" s="810">
        <f>AK56</f>
        <v>2022</v>
      </c>
      <c r="AL70" s="810">
        <f>AL56</f>
        <v>2021</v>
      </c>
      <c r="AM70" s="810" t="str">
        <f>AM56</f>
        <v>-</v>
      </c>
      <c r="AN70" s="1403"/>
      <c r="AO70" s="1414"/>
      <c r="AP70" s="1459"/>
      <c r="AQ70" s="809" t="s">
        <v>395</v>
      </c>
      <c r="AR70" s="810">
        <f>AK56</f>
        <v>2022</v>
      </c>
      <c r="AS70" s="810">
        <f>AL56</f>
        <v>2021</v>
      </c>
      <c r="AT70" s="810" t="str">
        <f>AM56</f>
        <v>-</v>
      </c>
      <c r="AU70" s="1403"/>
      <c r="AV70" s="1414"/>
      <c r="AX70" s="812" t="s">
        <v>395</v>
      </c>
      <c r="AY70" s="814" t="str">
        <f>AY56</f>
        <v>-</v>
      </c>
      <c r="AZ70" s="814" t="str">
        <f>AZ56</f>
        <v>-</v>
      </c>
      <c r="BA70" s="814" t="str">
        <f>BA56</f>
        <v>-</v>
      </c>
      <c r="BB70" s="1413"/>
      <c r="BC70" s="1415"/>
      <c r="BD70" s="1501"/>
      <c r="BE70" s="812" t="s">
        <v>395</v>
      </c>
      <c r="BF70" s="814" t="str">
        <f>AY56</f>
        <v>-</v>
      </c>
      <c r="BG70" s="814" t="str">
        <f>AZ56</f>
        <v>-</v>
      </c>
      <c r="BH70" s="814" t="str">
        <f>BA56</f>
        <v>-</v>
      </c>
      <c r="BI70" s="1413"/>
      <c r="BJ70" s="1415"/>
    </row>
    <row r="71" spans="1:62" ht="12.75" customHeight="1" x14ac:dyDescent="0.2">
      <c r="A71" s="702">
        <v>0</v>
      </c>
      <c r="B71" s="668">
        <v>9.9999999999999995E-7</v>
      </c>
      <c r="C71" s="668" t="s">
        <v>291</v>
      </c>
      <c r="D71" s="667" t="s">
        <v>291</v>
      </c>
      <c r="E71" s="668">
        <v>9.9999999999999995E-7</v>
      </c>
      <c r="F71" s="668">
        <v>0.23</v>
      </c>
      <c r="G71" s="1587"/>
      <c r="H71" s="702">
        <v>0</v>
      </c>
      <c r="I71" s="668">
        <v>9.9999999999999995E-7</v>
      </c>
      <c r="J71" s="668" t="s">
        <v>291</v>
      </c>
      <c r="K71" s="667" t="s">
        <v>291</v>
      </c>
      <c r="L71" s="668">
        <v>9.9999999999999995E-7</v>
      </c>
      <c r="M71" s="668">
        <v>0.43</v>
      </c>
      <c r="O71" s="1596"/>
      <c r="P71" s="1597"/>
      <c r="Q71" s="1597"/>
      <c r="R71" s="1597"/>
      <c r="S71" s="1597"/>
      <c r="T71" s="1598"/>
      <c r="V71" s="504">
        <v>0</v>
      </c>
      <c r="W71" s="678">
        <v>9.9999999999999995E-7</v>
      </c>
      <c r="X71" s="678">
        <v>9.9999999999999995E-7</v>
      </c>
      <c r="Y71" s="677" t="s">
        <v>291</v>
      </c>
      <c r="Z71" s="678">
        <v>9.9999999999999995E-7</v>
      </c>
      <c r="AA71" s="678">
        <v>0.21</v>
      </c>
      <c r="AB71" s="1539"/>
      <c r="AC71" s="504">
        <v>0</v>
      </c>
      <c r="AD71" s="678">
        <v>9.9999999999999995E-7</v>
      </c>
      <c r="AE71" s="678">
        <v>9.9999999999999995E-7</v>
      </c>
      <c r="AF71" s="677" t="s">
        <v>291</v>
      </c>
      <c r="AG71" s="678">
        <v>9.9999999999999995E-7</v>
      </c>
      <c r="AH71" s="678">
        <v>0.19</v>
      </c>
      <c r="AJ71" s="816">
        <v>0</v>
      </c>
      <c r="AK71" s="686">
        <v>9.9999999999999995E-7</v>
      </c>
      <c r="AL71" s="686">
        <v>9.9999999999999995E-7</v>
      </c>
      <c r="AM71" s="684" t="s">
        <v>291</v>
      </c>
      <c r="AN71" s="686">
        <v>9.9999999999999995E-7</v>
      </c>
      <c r="AO71" s="686">
        <v>0.38</v>
      </c>
      <c r="AP71" s="1459"/>
      <c r="AQ71" s="816">
        <v>0</v>
      </c>
      <c r="AR71" s="686">
        <v>9.9999999999999995E-7</v>
      </c>
      <c r="AS71" s="686">
        <v>9.9999999999999995E-7</v>
      </c>
      <c r="AT71" s="684" t="s">
        <v>291</v>
      </c>
      <c r="AU71" s="686">
        <v>9.9999999999999995E-7</v>
      </c>
      <c r="AV71" s="686">
        <v>0.39</v>
      </c>
      <c r="AX71" s="817">
        <v>0</v>
      </c>
      <c r="AY71" s="690" t="s">
        <v>291</v>
      </c>
      <c r="AZ71" s="690" t="s">
        <v>291</v>
      </c>
      <c r="BA71" s="690" t="s">
        <v>291</v>
      </c>
      <c r="BB71" s="691">
        <v>9.9999999999999995E-7</v>
      </c>
      <c r="BC71" s="692">
        <v>0</v>
      </c>
      <c r="BD71" s="1501"/>
      <c r="BE71" s="817">
        <v>0</v>
      </c>
      <c r="BF71" s="690" t="s">
        <v>291</v>
      </c>
      <c r="BG71" s="690" t="s">
        <v>291</v>
      </c>
      <c r="BH71" s="690" t="s">
        <v>291</v>
      </c>
      <c r="BI71" s="691">
        <v>9.9999999999999995E-7</v>
      </c>
      <c r="BJ71" s="692">
        <v>0</v>
      </c>
    </row>
    <row r="72" spans="1:62" ht="12.75" customHeight="1" x14ac:dyDescent="0.2">
      <c r="A72" s="702">
        <v>10</v>
      </c>
      <c r="B72" s="668">
        <v>-0.06</v>
      </c>
      <c r="C72" s="668" t="s">
        <v>291</v>
      </c>
      <c r="D72" s="668" t="s">
        <v>291</v>
      </c>
      <c r="E72" s="669">
        <f t="shared" ref="E72:E80" si="43">0.5*(MAX(B72:D72)-MIN(B72:D72))</f>
        <v>0</v>
      </c>
      <c r="F72" s="668">
        <v>0.23</v>
      </c>
      <c r="G72" s="1587"/>
      <c r="H72" s="702">
        <v>10</v>
      </c>
      <c r="I72" s="668">
        <v>-0.15</v>
      </c>
      <c r="J72" s="668" t="s">
        <v>291</v>
      </c>
      <c r="K72" s="668" t="s">
        <v>291</v>
      </c>
      <c r="L72" s="669">
        <f t="shared" ref="L72:L80" si="44">0.5*(MAX(I72:K72)-MIN(I72:K72))</f>
        <v>0</v>
      </c>
      <c r="M72" s="668">
        <v>0.43</v>
      </c>
      <c r="O72" s="1596"/>
      <c r="P72" s="1597"/>
      <c r="Q72" s="1597"/>
      <c r="R72" s="1597"/>
      <c r="S72" s="1597"/>
      <c r="T72" s="1598"/>
      <c r="V72" s="504">
        <v>10</v>
      </c>
      <c r="W72" s="678">
        <v>-0.02</v>
      </c>
      <c r="X72" s="678">
        <v>-0.02</v>
      </c>
      <c r="Y72" s="677" t="s">
        <v>291</v>
      </c>
      <c r="Z72" s="679">
        <f t="shared" ref="Z72:Z80" si="45">0.5*(MAX(W72:Y72)-MIN(W72:Y72))</f>
        <v>0</v>
      </c>
      <c r="AA72" s="678">
        <v>0.21</v>
      </c>
      <c r="AB72" s="1539"/>
      <c r="AC72" s="504">
        <v>10</v>
      </c>
      <c r="AD72" s="678">
        <v>0.01</v>
      </c>
      <c r="AE72" s="678">
        <v>-0.04</v>
      </c>
      <c r="AF72" s="677" t="s">
        <v>291</v>
      </c>
      <c r="AG72" s="679">
        <f t="shared" ref="AG72:AG80" si="46">0.5*(MAX(AD72:AF72)-MIN(AD72:AF72))</f>
        <v>2.5000000000000001E-2</v>
      </c>
      <c r="AH72" s="678">
        <v>0.19</v>
      </c>
      <c r="AJ72" s="816">
        <v>10</v>
      </c>
      <c r="AK72" s="686">
        <f>-AJ72+9.39</f>
        <v>-0.60999999999999943</v>
      </c>
      <c r="AL72" s="686">
        <v>0.04</v>
      </c>
      <c r="AM72" s="684" t="s">
        <v>291</v>
      </c>
      <c r="AN72" s="685">
        <f t="shared" ref="AN72:AN80" si="47">0.5*(MAX(AK72:AM72)-MIN(AK72:AM72))</f>
        <v>0.32499999999999973</v>
      </c>
      <c r="AO72" s="686">
        <v>0.38</v>
      </c>
      <c r="AP72" s="1459"/>
      <c r="AQ72" s="816">
        <v>10</v>
      </c>
      <c r="AR72" s="686">
        <f>-AQ72+9.64</f>
        <v>-0.35999999999999943</v>
      </c>
      <c r="AS72" s="686">
        <v>-0.11</v>
      </c>
      <c r="AT72" s="684" t="s">
        <v>291</v>
      </c>
      <c r="AU72" s="685">
        <f t="shared" ref="AU72:AU80" si="48">0.5*(MAX(AR72:AT72)-MIN(AR72:AT72))</f>
        <v>0.12499999999999972</v>
      </c>
      <c r="AV72" s="686">
        <v>0.39</v>
      </c>
      <c r="AX72" s="817">
        <v>5</v>
      </c>
      <c r="AY72" s="692" t="s">
        <v>291</v>
      </c>
      <c r="AZ72" s="692" t="s">
        <v>291</v>
      </c>
      <c r="BA72" s="692" t="s">
        <v>291</v>
      </c>
      <c r="BB72" s="691">
        <f t="shared" ref="BB72:BB80" si="49">0.5*(MAX(AY72:BA72)-MIN(AY72:BA72))</f>
        <v>0</v>
      </c>
      <c r="BC72" s="692">
        <v>0</v>
      </c>
      <c r="BD72" s="1501"/>
      <c r="BE72" s="817">
        <v>5</v>
      </c>
      <c r="BF72" s="692" t="s">
        <v>291</v>
      </c>
      <c r="BG72" s="692" t="s">
        <v>291</v>
      </c>
      <c r="BH72" s="692" t="s">
        <v>291</v>
      </c>
      <c r="BI72" s="691">
        <f t="shared" ref="BI72:BI80" si="50">0.5*(MAX(BF72:BH72)-MIN(BF72:BH72))</f>
        <v>0</v>
      </c>
      <c r="BJ72" s="692">
        <v>0</v>
      </c>
    </row>
    <row r="73" spans="1:62" ht="12.75" customHeight="1" x14ac:dyDescent="0.2">
      <c r="A73" s="702">
        <v>50</v>
      </c>
      <c r="B73" s="668">
        <v>-0.03</v>
      </c>
      <c r="C73" s="668" t="s">
        <v>291</v>
      </c>
      <c r="D73" s="668" t="s">
        <v>291</v>
      </c>
      <c r="E73" s="669">
        <f t="shared" si="43"/>
        <v>0</v>
      </c>
      <c r="F73" s="668">
        <v>0.23</v>
      </c>
      <c r="G73" s="1587"/>
      <c r="H73" s="702">
        <v>50</v>
      </c>
      <c r="I73" s="668">
        <v>-0.11</v>
      </c>
      <c r="J73" s="668" t="s">
        <v>291</v>
      </c>
      <c r="K73" s="668" t="s">
        <v>291</v>
      </c>
      <c r="L73" s="669">
        <f t="shared" si="44"/>
        <v>0</v>
      </c>
      <c r="M73" s="668">
        <v>0.43</v>
      </c>
      <c r="O73" s="1596"/>
      <c r="P73" s="1597"/>
      <c r="Q73" s="1597"/>
      <c r="R73" s="1597"/>
      <c r="S73" s="1597"/>
      <c r="T73" s="1598"/>
      <c r="V73" s="504">
        <v>50</v>
      </c>
      <c r="W73" s="678">
        <v>-0.01</v>
      </c>
      <c r="X73" s="678">
        <v>-0.02</v>
      </c>
      <c r="Y73" s="677" t="s">
        <v>291</v>
      </c>
      <c r="Z73" s="679">
        <f t="shared" si="45"/>
        <v>5.0000000000000001E-3</v>
      </c>
      <c r="AA73" s="678">
        <v>0.21</v>
      </c>
      <c r="AB73" s="1539"/>
      <c r="AC73" s="504">
        <v>50</v>
      </c>
      <c r="AD73" s="678">
        <v>0.01</v>
      </c>
      <c r="AE73" s="678">
        <v>-0.04</v>
      </c>
      <c r="AF73" s="677" t="s">
        <v>291</v>
      </c>
      <c r="AG73" s="679">
        <f t="shared" si="46"/>
        <v>2.5000000000000001E-2</v>
      </c>
      <c r="AH73" s="678">
        <v>0.19</v>
      </c>
      <c r="AJ73" s="816">
        <v>50</v>
      </c>
      <c r="AK73" s="686">
        <f>-AJ73+49.33</f>
        <v>-0.67000000000000171</v>
      </c>
      <c r="AL73" s="686">
        <v>0.03</v>
      </c>
      <c r="AM73" s="684" t="s">
        <v>291</v>
      </c>
      <c r="AN73" s="685">
        <f t="shared" si="47"/>
        <v>0.35000000000000087</v>
      </c>
      <c r="AO73" s="686">
        <v>0.38</v>
      </c>
      <c r="AP73" s="1459"/>
      <c r="AQ73" s="816">
        <v>50</v>
      </c>
      <c r="AR73" s="686">
        <f>-AQ73+49.54</f>
        <v>-0.46000000000000085</v>
      </c>
      <c r="AS73" s="686">
        <v>-0.09</v>
      </c>
      <c r="AT73" s="684" t="s">
        <v>291</v>
      </c>
      <c r="AU73" s="685">
        <f t="shared" si="48"/>
        <v>0.18500000000000044</v>
      </c>
      <c r="AV73" s="686">
        <v>0.39</v>
      </c>
      <c r="AX73" s="817">
        <v>10</v>
      </c>
      <c r="AY73" s="692" t="s">
        <v>291</v>
      </c>
      <c r="AZ73" s="692" t="s">
        <v>291</v>
      </c>
      <c r="BA73" s="692" t="s">
        <v>291</v>
      </c>
      <c r="BB73" s="691">
        <f t="shared" si="49"/>
        <v>0</v>
      </c>
      <c r="BC73" s="692">
        <v>0</v>
      </c>
      <c r="BD73" s="1501"/>
      <c r="BE73" s="817">
        <v>10</v>
      </c>
      <c r="BF73" s="692" t="s">
        <v>291</v>
      </c>
      <c r="BG73" s="692" t="s">
        <v>291</v>
      </c>
      <c r="BH73" s="692" t="s">
        <v>291</v>
      </c>
      <c r="BI73" s="691">
        <f t="shared" si="50"/>
        <v>0</v>
      </c>
      <c r="BJ73" s="692">
        <v>0</v>
      </c>
    </row>
    <row r="74" spans="1:62" ht="12.75" customHeight="1" x14ac:dyDescent="0.2">
      <c r="A74" s="702">
        <v>100</v>
      </c>
      <c r="B74" s="668">
        <v>9.9999999999999995E-7</v>
      </c>
      <c r="C74" s="667" t="s">
        <v>291</v>
      </c>
      <c r="D74" s="667" t="s">
        <v>291</v>
      </c>
      <c r="E74" s="669">
        <f t="shared" si="43"/>
        <v>0</v>
      </c>
      <c r="F74" s="668">
        <v>0.23</v>
      </c>
      <c r="G74" s="1587"/>
      <c r="H74" s="702">
        <v>100</v>
      </c>
      <c r="I74" s="668">
        <v>-0.06</v>
      </c>
      <c r="J74" s="667" t="s">
        <v>291</v>
      </c>
      <c r="K74" s="667" t="s">
        <v>291</v>
      </c>
      <c r="L74" s="669">
        <f t="shared" si="44"/>
        <v>0</v>
      </c>
      <c r="M74" s="668">
        <v>0.43</v>
      </c>
      <c r="O74" s="1596"/>
      <c r="P74" s="1597"/>
      <c r="Q74" s="1597"/>
      <c r="R74" s="1597"/>
      <c r="S74" s="1597"/>
      <c r="T74" s="1598"/>
      <c r="V74" s="504">
        <v>100</v>
      </c>
      <c r="W74" s="678">
        <v>0.02</v>
      </c>
      <c r="X74" s="678">
        <v>-0.01</v>
      </c>
      <c r="Y74" s="677" t="s">
        <v>291</v>
      </c>
      <c r="Z74" s="679">
        <f t="shared" si="45"/>
        <v>1.4999999999999999E-2</v>
      </c>
      <c r="AA74" s="678">
        <v>0.21</v>
      </c>
      <c r="AB74" s="1539"/>
      <c r="AC74" s="504">
        <v>100</v>
      </c>
      <c r="AD74" s="678">
        <v>0.02</v>
      </c>
      <c r="AE74" s="678">
        <v>-0.03</v>
      </c>
      <c r="AF74" s="677" t="s">
        <v>291</v>
      </c>
      <c r="AG74" s="679">
        <f t="shared" si="46"/>
        <v>2.5000000000000001E-2</v>
      </c>
      <c r="AH74" s="678">
        <v>0.19</v>
      </c>
      <c r="AJ74" s="816">
        <v>100</v>
      </c>
      <c r="AK74" s="686">
        <f>-AJ74+99.25</f>
        <v>-0.75</v>
      </c>
      <c r="AL74" s="686">
        <v>0.02</v>
      </c>
      <c r="AM74" s="684" t="s">
        <v>291</v>
      </c>
      <c r="AN74" s="685">
        <f t="shared" si="47"/>
        <v>0.38500000000000001</v>
      </c>
      <c r="AO74" s="686">
        <v>0.38</v>
      </c>
      <c r="AP74" s="1459"/>
      <c r="AQ74" s="816">
        <v>100</v>
      </c>
      <c r="AR74" s="686">
        <f>-AQ74+99.81</f>
        <v>-0.18999999999999773</v>
      </c>
      <c r="AS74" s="686">
        <v>-0.06</v>
      </c>
      <c r="AT74" s="684" t="s">
        <v>291</v>
      </c>
      <c r="AU74" s="685">
        <f t="shared" si="48"/>
        <v>6.4999999999998864E-2</v>
      </c>
      <c r="AV74" s="686">
        <v>0.39</v>
      </c>
      <c r="AX74" s="817">
        <v>20</v>
      </c>
      <c r="AY74" s="690" t="s">
        <v>291</v>
      </c>
      <c r="AZ74" s="690" t="s">
        <v>291</v>
      </c>
      <c r="BA74" s="690" t="s">
        <v>291</v>
      </c>
      <c r="BB74" s="691">
        <f t="shared" si="49"/>
        <v>0</v>
      </c>
      <c r="BC74" s="692">
        <v>0</v>
      </c>
      <c r="BD74" s="1501"/>
      <c r="BE74" s="817">
        <v>20</v>
      </c>
      <c r="BF74" s="690" t="s">
        <v>291</v>
      </c>
      <c r="BG74" s="690" t="s">
        <v>291</v>
      </c>
      <c r="BH74" s="690" t="s">
        <v>291</v>
      </c>
      <c r="BI74" s="691">
        <f t="shared" si="50"/>
        <v>0</v>
      </c>
      <c r="BJ74" s="692">
        <v>0</v>
      </c>
    </row>
    <row r="75" spans="1:62" ht="12.75" customHeight="1" x14ac:dyDescent="0.2">
      <c r="A75" s="702">
        <v>150</v>
      </c>
      <c r="B75" s="668">
        <v>0.03</v>
      </c>
      <c r="C75" s="667" t="s">
        <v>291</v>
      </c>
      <c r="D75" s="667" t="s">
        <v>291</v>
      </c>
      <c r="E75" s="669">
        <f t="shared" si="43"/>
        <v>0</v>
      </c>
      <c r="F75" s="668">
        <v>0.23</v>
      </c>
      <c r="G75" s="1587"/>
      <c r="H75" s="702">
        <v>150</v>
      </c>
      <c r="I75" s="668">
        <v>-0.01</v>
      </c>
      <c r="J75" s="667" t="s">
        <v>291</v>
      </c>
      <c r="K75" s="667" t="s">
        <v>291</v>
      </c>
      <c r="L75" s="669">
        <f t="shared" si="44"/>
        <v>0</v>
      </c>
      <c r="M75" s="668">
        <v>0.43</v>
      </c>
      <c r="O75" s="1596"/>
      <c r="P75" s="1597"/>
      <c r="Q75" s="1597"/>
      <c r="R75" s="1597"/>
      <c r="S75" s="1597"/>
      <c r="T75" s="1598"/>
      <c r="V75" s="504">
        <v>150</v>
      </c>
      <c r="W75" s="678">
        <v>0.05</v>
      </c>
      <c r="X75" s="678">
        <v>9.9999999999999995E-7</v>
      </c>
      <c r="Y75" s="677" t="s">
        <v>291</v>
      </c>
      <c r="Z75" s="679">
        <f t="shared" si="45"/>
        <v>2.4999500000000001E-2</v>
      </c>
      <c r="AA75" s="678">
        <v>0.21</v>
      </c>
      <c r="AB75" s="1539"/>
      <c r="AC75" s="504">
        <v>150</v>
      </c>
      <c r="AD75" s="678">
        <v>0.03</v>
      </c>
      <c r="AE75" s="678">
        <v>-0.03</v>
      </c>
      <c r="AF75" s="677" t="s">
        <v>291</v>
      </c>
      <c r="AG75" s="679">
        <f t="shared" si="46"/>
        <v>0.03</v>
      </c>
      <c r="AH75" s="678">
        <v>0.19</v>
      </c>
      <c r="AJ75" s="816">
        <v>150</v>
      </c>
      <c r="AK75" s="686">
        <f>-AJ75+149.17</f>
        <v>-0.83000000000001251</v>
      </c>
      <c r="AL75" s="686">
        <v>0.01</v>
      </c>
      <c r="AM75" s="684" t="s">
        <v>291</v>
      </c>
      <c r="AN75" s="685">
        <f t="shared" si="47"/>
        <v>0.42000000000000626</v>
      </c>
      <c r="AO75" s="686">
        <v>0.38</v>
      </c>
      <c r="AP75" s="1459"/>
      <c r="AQ75" s="816">
        <v>150</v>
      </c>
      <c r="AR75" s="686">
        <f>-AQ75+149.29</f>
        <v>-0.71000000000000796</v>
      </c>
      <c r="AS75" s="686">
        <v>-0.03</v>
      </c>
      <c r="AT75" s="684" t="s">
        <v>291</v>
      </c>
      <c r="AU75" s="685">
        <f t="shared" si="48"/>
        <v>0.34000000000000397</v>
      </c>
      <c r="AV75" s="686">
        <v>0.39</v>
      </c>
      <c r="AX75" s="817">
        <v>50</v>
      </c>
      <c r="AY75" s="690" t="s">
        <v>291</v>
      </c>
      <c r="AZ75" s="690" t="s">
        <v>291</v>
      </c>
      <c r="BA75" s="690" t="s">
        <v>291</v>
      </c>
      <c r="BB75" s="691">
        <f t="shared" si="49"/>
        <v>0</v>
      </c>
      <c r="BC75" s="692">
        <v>0</v>
      </c>
      <c r="BD75" s="1501"/>
      <c r="BE75" s="817">
        <v>50</v>
      </c>
      <c r="BF75" s="690" t="s">
        <v>291</v>
      </c>
      <c r="BG75" s="690" t="s">
        <v>291</v>
      </c>
      <c r="BH75" s="690" t="s">
        <v>291</v>
      </c>
      <c r="BI75" s="691">
        <f t="shared" si="50"/>
        <v>0</v>
      </c>
      <c r="BJ75" s="692">
        <v>0</v>
      </c>
    </row>
    <row r="76" spans="1:62" ht="12.75" customHeight="1" x14ac:dyDescent="0.2">
      <c r="A76" s="702">
        <v>200</v>
      </c>
      <c r="B76" s="668">
        <v>0.06</v>
      </c>
      <c r="C76" s="667" t="s">
        <v>291</v>
      </c>
      <c r="D76" s="667" t="s">
        <v>291</v>
      </c>
      <c r="E76" s="669">
        <f t="shared" si="43"/>
        <v>0</v>
      </c>
      <c r="F76" s="668">
        <v>0.23</v>
      </c>
      <c r="G76" s="1587"/>
      <c r="H76" s="702">
        <v>200</v>
      </c>
      <c r="I76" s="668">
        <v>0.04</v>
      </c>
      <c r="J76" s="667" t="s">
        <v>291</v>
      </c>
      <c r="K76" s="667" t="s">
        <v>291</v>
      </c>
      <c r="L76" s="669">
        <f t="shared" si="44"/>
        <v>0</v>
      </c>
      <c r="M76" s="668">
        <v>0.43</v>
      </c>
      <c r="O76" s="1596"/>
      <c r="P76" s="1597"/>
      <c r="Q76" s="1597"/>
      <c r="R76" s="1597"/>
      <c r="S76" s="1597"/>
      <c r="T76" s="1598"/>
      <c r="V76" s="504">
        <v>200</v>
      </c>
      <c r="W76" s="678">
        <v>0.08</v>
      </c>
      <c r="X76" s="678">
        <v>0.03</v>
      </c>
      <c r="Y76" s="677" t="s">
        <v>291</v>
      </c>
      <c r="Z76" s="679">
        <f t="shared" si="45"/>
        <v>2.5000000000000001E-2</v>
      </c>
      <c r="AA76" s="678">
        <v>0.21</v>
      </c>
      <c r="AB76" s="1539"/>
      <c r="AC76" s="504">
        <v>200</v>
      </c>
      <c r="AD76" s="678">
        <v>0.04</v>
      </c>
      <c r="AE76" s="678">
        <v>-0.01</v>
      </c>
      <c r="AF76" s="677" t="s">
        <v>291</v>
      </c>
      <c r="AG76" s="679">
        <f t="shared" si="46"/>
        <v>2.5000000000000001E-2</v>
      </c>
      <c r="AH76" s="678">
        <v>0.19</v>
      </c>
      <c r="AJ76" s="816">
        <v>200</v>
      </c>
      <c r="AK76" s="686">
        <f>-AJ76+199.09</f>
        <v>-0.90999999999999659</v>
      </c>
      <c r="AL76" s="686">
        <v>-0.01</v>
      </c>
      <c r="AM76" s="684" t="s">
        <v>291</v>
      </c>
      <c r="AN76" s="685">
        <f t="shared" si="47"/>
        <v>0.44999999999999829</v>
      </c>
      <c r="AO76" s="686">
        <v>0.38</v>
      </c>
      <c r="AP76" s="1459"/>
      <c r="AQ76" s="816">
        <v>200</v>
      </c>
      <c r="AR76" s="686">
        <f>-AQ76+199.16</f>
        <v>-0.84000000000000341</v>
      </c>
      <c r="AS76" s="686">
        <v>9.9999999999999995E-7</v>
      </c>
      <c r="AT76" s="684" t="s">
        <v>291</v>
      </c>
      <c r="AU76" s="685">
        <f t="shared" si="48"/>
        <v>0.42000050000000172</v>
      </c>
      <c r="AV76" s="686">
        <v>0.39</v>
      </c>
      <c r="AX76" s="817">
        <v>100</v>
      </c>
      <c r="AY76" s="690" t="s">
        <v>291</v>
      </c>
      <c r="AZ76" s="690" t="s">
        <v>291</v>
      </c>
      <c r="BA76" s="690" t="s">
        <v>291</v>
      </c>
      <c r="BB76" s="691">
        <f t="shared" si="49"/>
        <v>0</v>
      </c>
      <c r="BC76" s="692">
        <v>0</v>
      </c>
      <c r="BD76" s="1501"/>
      <c r="BE76" s="817">
        <v>100</v>
      </c>
      <c r="BF76" s="690" t="s">
        <v>291</v>
      </c>
      <c r="BG76" s="690" t="s">
        <v>291</v>
      </c>
      <c r="BH76" s="690" t="s">
        <v>291</v>
      </c>
      <c r="BI76" s="691">
        <f t="shared" si="50"/>
        <v>0</v>
      </c>
      <c r="BJ76" s="692">
        <v>0</v>
      </c>
    </row>
    <row r="77" spans="1:62" ht="12.75" customHeight="1" x14ac:dyDescent="0.2">
      <c r="A77" s="702">
        <v>250</v>
      </c>
      <c r="B77" s="668">
        <v>0.09</v>
      </c>
      <c r="C77" s="667" t="s">
        <v>291</v>
      </c>
      <c r="D77" s="667" t="s">
        <v>291</v>
      </c>
      <c r="E77" s="669">
        <f t="shared" si="43"/>
        <v>0</v>
      </c>
      <c r="F77" s="668">
        <v>0.23</v>
      </c>
      <c r="G77" s="1587"/>
      <c r="H77" s="702">
        <v>250</v>
      </c>
      <c r="I77" s="668">
        <v>0.09</v>
      </c>
      <c r="J77" s="667" t="s">
        <v>291</v>
      </c>
      <c r="K77" s="667" t="s">
        <v>291</v>
      </c>
      <c r="L77" s="669">
        <f t="shared" si="44"/>
        <v>0</v>
      </c>
      <c r="M77" s="668">
        <v>0.43</v>
      </c>
      <c r="O77" s="1596"/>
      <c r="P77" s="1597"/>
      <c r="Q77" s="1597"/>
      <c r="R77" s="1597"/>
      <c r="S77" s="1597"/>
      <c r="T77" s="1598"/>
      <c r="V77" s="504">
        <v>250</v>
      </c>
      <c r="W77" s="678">
        <v>0.11</v>
      </c>
      <c r="X77" s="678">
        <v>0.08</v>
      </c>
      <c r="Y77" s="677" t="s">
        <v>291</v>
      </c>
      <c r="Z77" s="679">
        <f t="shared" si="45"/>
        <v>1.4999999999999999E-2</v>
      </c>
      <c r="AA77" s="678">
        <v>0.21</v>
      </c>
      <c r="AB77" s="1539"/>
      <c r="AC77" s="504">
        <v>250</v>
      </c>
      <c r="AD77" s="678">
        <v>0.04</v>
      </c>
      <c r="AE77" s="678">
        <v>0.02</v>
      </c>
      <c r="AF77" s="677" t="s">
        <v>291</v>
      </c>
      <c r="AG77" s="679">
        <f t="shared" si="46"/>
        <v>0.01</v>
      </c>
      <c r="AH77" s="678">
        <v>0.19</v>
      </c>
      <c r="AJ77" s="816">
        <v>250</v>
      </c>
      <c r="AK77" s="686">
        <f>-AJ77+249.02</f>
        <v>-0.97999999999998977</v>
      </c>
      <c r="AL77" s="686">
        <v>-0.02</v>
      </c>
      <c r="AM77" s="684" t="s">
        <v>291</v>
      </c>
      <c r="AN77" s="685">
        <f t="shared" si="47"/>
        <v>0.47999999999999488</v>
      </c>
      <c r="AO77" s="686">
        <v>0.38</v>
      </c>
      <c r="AP77" s="1459"/>
      <c r="AQ77" s="816">
        <v>250</v>
      </c>
      <c r="AR77" s="686">
        <f>-AQ77+249.03</f>
        <v>-0.96999999999999886</v>
      </c>
      <c r="AS77" s="686">
        <v>0.03</v>
      </c>
      <c r="AT77" s="684" t="s">
        <v>291</v>
      </c>
      <c r="AU77" s="685">
        <f t="shared" si="48"/>
        <v>0.49999999999999944</v>
      </c>
      <c r="AV77" s="686">
        <v>0.39</v>
      </c>
      <c r="AX77" s="817">
        <v>200</v>
      </c>
      <c r="AY77" s="690" t="s">
        <v>291</v>
      </c>
      <c r="AZ77" s="690" t="s">
        <v>291</v>
      </c>
      <c r="BA77" s="690" t="s">
        <v>291</v>
      </c>
      <c r="BB77" s="691">
        <f t="shared" si="49"/>
        <v>0</v>
      </c>
      <c r="BC77" s="692">
        <v>0</v>
      </c>
      <c r="BD77" s="1501"/>
      <c r="BE77" s="817">
        <v>200</v>
      </c>
      <c r="BF77" s="690" t="s">
        <v>291</v>
      </c>
      <c r="BG77" s="690" t="s">
        <v>291</v>
      </c>
      <c r="BH77" s="690" t="s">
        <v>291</v>
      </c>
      <c r="BI77" s="691">
        <f t="shared" si="50"/>
        <v>0</v>
      </c>
      <c r="BJ77" s="692">
        <v>0</v>
      </c>
    </row>
    <row r="78" spans="1:62" ht="13.5" customHeight="1" x14ac:dyDescent="0.2">
      <c r="A78" s="702">
        <v>300</v>
      </c>
      <c r="B78" s="668">
        <v>0.12</v>
      </c>
      <c r="C78" s="667" t="s">
        <v>291</v>
      </c>
      <c r="D78" s="667" t="s">
        <v>291</v>
      </c>
      <c r="E78" s="669">
        <f t="shared" si="43"/>
        <v>0</v>
      </c>
      <c r="F78" s="668">
        <v>0.23</v>
      </c>
      <c r="G78" s="1587"/>
      <c r="H78" s="702">
        <v>300</v>
      </c>
      <c r="I78" s="668">
        <v>0.14000000000000001</v>
      </c>
      <c r="J78" s="667" t="s">
        <v>291</v>
      </c>
      <c r="K78" s="667" t="s">
        <v>291</v>
      </c>
      <c r="L78" s="669">
        <f t="shared" si="44"/>
        <v>0</v>
      </c>
      <c r="M78" s="668">
        <v>0.43</v>
      </c>
      <c r="O78" s="1596"/>
      <c r="P78" s="1597"/>
      <c r="Q78" s="1597"/>
      <c r="R78" s="1597"/>
      <c r="S78" s="1597"/>
      <c r="T78" s="1598"/>
      <c r="V78" s="504">
        <v>300</v>
      </c>
      <c r="W78" s="678">
        <v>0.14000000000000001</v>
      </c>
      <c r="X78" s="678">
        <v>0.23</v>
      </c>
      <c r="Y78" s="677" t="s">
        <v>291</v>
      </c>
      <c r="Z78" s="679">
        <f t="shared" si="45"/>
        <v>4.4999999999999998E-2</v>
      </c>
      <c r="AA78" s="678">
        <v>0.21</v>
      </c>
      <c r="AB78" s="1539"/>
      <c r="AC78" s="504">
        <v>300</v>
      </c>
      <c r="AD78" s="678">
        <v>0.05</v>
      </c>
      <c r="AE78" s="678">
        <v>0.1</v>
      </c>
      <c r="AF78" s="677" t="s">
        <v>291</v>
      </c>
      <c r="AG78" s="679">
        <f t="shared" si="46"/>
        <v>2.5000000000000001E-2</v>
      </c>
      <c r="AH78" s="678">
        <v>0.19</v>
      </c>
      <c r="AJ78" s="816">
        <v>300</v>
      </c>
      <c r="AK78" s="686">
        <f>-AJ78+298.94</f>
        <v>-1.0600000000000023</v>
      </c>
      <c r="AL78" s="686">
        <v>-0.04</v>
      </c>
      <c r="AM78" s="684" t="s">
        <v>291</v>
      </c>
      <c r="AN78" s="685">
        <f t="shared" si="47"/>
        <v>0.51000000000000112</v>
      </c>
      <c r="AO78" s="686">
        <v>0.38</v>
      </c>
      <c r="AP78" s="1459"/>
      <c r="AQ78" s="816">
        <v>300</v>
      </c>
      <c r="AR78" s="686">
        <f>-AQ78+298.91</f>
        <v>-1.089999999999975</v>
      </c>
      <c r="AS78" s="686">
        <v>0.06</v>
      </c>
      <c r="AT78" s="684" t="s">
        <v>291</v>
      </c>
      <c r="AU78" s="685">
        <f t="shared" si="48"/>
        <v>0.57499999999998752</v>
      </c>
      <c r="AV78" s="686">
        <v>0.39</v>
      </c>
      <c r="AX78" s="817">
        <v>500</v>
      </c>
      <c r="AY78" s="690" t="s">
        <v>291</v>
      </c>
      <c r="AZ78" s="690" t="s">
        <v>291</v>
      </c>
      <c r="BA78" s="690" t="s">
        <v>291</v>
      </c>
      <c r="BB78" s="691">
        <f t="shared" si="49"/>
        <v>0</v>
      </c>
      <c r="BC78" s="692">
        <v>0</v>
      </c>
      <c r="BD78" s="1501"/>
      <c r="BE78" s="817">
        <v>500</v>
      </c>
      <c r="BF78" s="690" t="s">
        <v>291</v>
      </c>
      <c r="BG78" s="690" t="s">
        <v>291</v>
      </c>
      <c r="BH78" s="690" t="s">
        <v>291</v>
      </c>
      <c r="BI78" s="691">
        <f t="shared" si="50"/>
        <v>0</v>
      </c>
      <c r="BJ78" s="692">
        <v>0</v>
      </c>
    </row>
    <row r="79" spans="1:62" ht="13.5" customHeight="1" x14ac:dyDescent="0.2">
      <c r="A79" s="702">
        <v>600</v>
      </c>
      <c r="B79" s="668">
        <v>0.12</v>
      </c>
      <c r="C79" s="667" t="s">
        <v>291</v>
      </c>
      <c r="D79" s="667" t="s">
        <v>291</v>
      </c>
      <c r="E79" s="669">
        <f t="shared" si="43"/>
        <v>0</v>
      </c>
      <c r="F79" s="668">
        <v>0.23</v>
      </c>
      <c r="G79" s="1587"/>
      <c r="H79" s="702">
        <v>600</v>
      </c>
      <c r="I79" s="668">
        <v>0.14000000000000001</v>
      </c>
      <c r="J79" s="667" t="s">
        <v>291</v>
      </c>
      <c r="K79" s="667" t="s">
        <v>291</v>
      </c>
      <c r="L79" s="669">
        <f t="shared" si="44"/>
        <v>0</v>
      </c>
      <c r="M79" s="668">
        <v>0.43</v>
      </c>
      <c r="O79" s="1596"/>
      <c r="P79" s="1597"/>
      <c r="Q79" s="1597"/>
      <c r="R79" s="1597"/>
      <c r="S79" s="1597"/>
      <c r="T79" s="1598"/>
      <c r="V79" s="504">
        <v>500</v>
      </c>
      <c r="W79" s="678">
        <v>0.25</v>
      </c>
      <c r="X79" s="678">
        <v>0.23</v>
      </c>
      <c r="Y79" s="677" t="s">
        <v>291</v>
      </c>
      <c r="Z79" s="679">
        <f t="shared" si="45"/>
        <v>9.999999999999995E-3</v>
      </c>
      <c r="AA79" s="678">
        <v>0.21</v>
      </c>
      <c r="AB79" s="1539"/>
      <c r="AC79" s="504">
        <v>500</v>
      </c>
      <c r="AD79" s="678">
        <v>0.08</v>
      </c>
      <c r="AE79" s="678">
        <v>0.1</v>
      </c>
      <c r="AF79" s="677" t="s">
        <v>291</v>
      </c>
      <c r="AG79" s="679">
        <f t="shared" si="46"/>
        <v>1.0000000000000002E-2</v>
      </c>
      <c r="AH79" s="678">
        <v>0.19</v>
      </c>
      <c r="AJ79" s="816">
        <v>500</v>
      </c>
      <c r="AK79" s="686">
        <f>-AJ79+498.63</f>
        <v>-1.3700000000000045</v>
      </c>
      <c r="AL79" s="686">
        <v>-0.09</v>
      </c>
      <c r="AM79" s="684" t="s">
        <v>291</v>
      </c>
      <c r="AN79" s="685">
        <f t="shared" si="47"/>
        <v>0.64000000000000223</v>
      </c>
      <c r="AO79" s="686">
        <v>0.38</v>
      </c>
      <c r="AP79" s="1459"/>
      <c r="AQ79" s="816">
        <v>500</v>
      </c>
      <c r="AR79" s="686">
        <f>-AQ79+498.4</f>
        <v>-1.6000000000000227</v>
      </c>
      <c r="AS79" s="686">
        <v>0.19</v>
      </c>
      <c r="AT79" s="684" t="s">
        <v>291</v>
      </c>
      <c r="AU79" s="685">
        <f t="shared" si="48"/>
        <v>0.89500000000001134</v>
      </c>
      <c r="AV79" s="686">
        <v>0.39</v>
      </c>
      <c r="AX79" s="817">
        <v>600</v>
      </c>
      <c r="AY79" s="690" t="s">
        <v>291</v>
      </c>
      <c r="AZ79" s="690" t="s">
        <v>291</v>
      </c>
      <c r="BA79" s="690" t="s">
        <v>291</v>
      </c>
      <c r="BB79" s="691">
        <f t="shared" si="49"/>
        <v>0</v>
      </c>
      <c r="BC79" s="692">
        <v>0</v>
      </c>
      <c r="BD79" s="1501"/>
      <c r="BE79" s="817">
        <v>600</v>
      </c>
      <c r="BF79" s="690" t="s">
        <v>291</v>
      </c>
      <c r="BG79" s="690" t="s">
        <v>291</v>
      </c>
      <c r="BH79" s="690" t="s">
        <v>291</v>
      </c>
      <c r="BI79" s="691">
        <f t="shared" si="50"/>
        <v>0</v>
      </c>
      <c r="BJ79" s="692">
        <v>0</v>
      </c>
    </row>
    <row r="80" spans="1:62" ht="13.5" customHeight="1" x14ac:dyDescent="0.2">
      <c r="A80" s="702">
        <v>650</v>
      </c>
      <c r="B80" s="668">
        <v>0.12</v>
      </c>
      <c r="C80" s="667" t="s">
        <v>291</v>
      </c>
      <c r="D80" s="667" t="s">
        <v>291</v>
      </c>
      <c r="E80" s="669">
        <f t="shared" si="43"/>
        <v>0</v>
      </c>
      <c r="F80" s="668">
        <v>0.23</v>
      </c>
      <c r="G80" s="1588"/>
      <c r="H80" s="702">
        <v>650</v>
      </c>
      <c r="I80" s="668">
        <v>0.14000000000000001</v>
      </c>
      <c r="J80" s="667" t="s">
        <v>291</v>
      </c>
      <c r="K80" s="667" t="s">
        <v>291</v>
      </c>
      <c r="L80" s="669">
        <f t="shared" si="44"/>
        <v>0</v>
      </c>
      <c r="M80" s="668">
        <v>0.43</v>
      </c>
      <c r="O80" s="1596"/>
      <c r="P80" s="1597"/>
      <c r="Q80" s="1597"/>
      <c r="R80" s="1597"/>
      <c r="S80" s="1597"/>
      <c r="T80" s="1598"/>
      <c r="V80" s="504">
        <v>600</v>
      </c>
      <c r="W80" s="678">
        <v>0.25</v>
      </c>
      <c r="X80" s="678">
        <v>0.23</v>
      </c>
      <c r="Y80" s="677" t="s">
        <v>291</v>
      </c>
      <c r="Z80" s="679">
        <f t="shared" si="45"/>
        <v>9.999999999999995E-3</v>
      </c>
      <c r="AA80" s="678">
        <v>0.21</v>
      </c>
      <c r="AB80" s="1539"/>
      <c r="AC80" s="504">
        <v>600</v>
      </c>
      <c r="AD80" s="678">
        <v>0.08</v>
      </c>
      <c r="AE80" s="678">
        <v>0.1</v>
      </c>
      <c r="AF80" s="677" t="s">
        <v>291</v>
      </c>
      <c r="AG80" s="679">
        <f t="shared" si="46"/>
        <v>1.0000000000000002E-2</v>
      </c>
      <c r="AH80" s="678">
        <v>0.19</v>
      </c>
      <c r="AJ80" s="816">
        <v>600</v>
      </c>
      <c r="AK80" s="686">
        <f>-AJ80+598.47</f>
        <v>-1.5299999999999727</v>
      </c>
      <c r="AL80" s="686">
        <v>-0.09</v>
      </c>
      <c r="AM80" s="684" t="s">
        <v>291</v>
      </c>
      <c r="AN80" s="685">
        <f t="shared" si="47"/>
        <v>0.71999999999998632</v>
      </c>
      <c r="AO80" s="686">
        <v>0.38</v>
      </c>
      <c r="AP80" s="1460"/>
      <c r="AQ80" s="816">
        <v>600</v>
      </c>
      <c r="AR80" s="686">
        <f>-AQ80+598.15</f>
        <v>-1.8500000000000227</v>
      </c>
      <c r="AS80" s="686">
        <v>9.9999999999999995E-7</v>
      </c>
      <c r="AT80" s="684" t="s">
        <v>291</v>
      </c>
      <c r="AU80" s="685">
        <f t="shared" si="48"/>
        <v>0.92500050000001133</v>
      </c>
      <c r="AV80" s="686">
        <v>0.39</v>
      </c>
      <c r="AX80" s="817">
        <v>650</v>
      </c>
      <c r="AY80" s="690" t="s">
        <v>291</v>
      </c>
      <c r="AZ80" s="690" t="s">
        <v>291</v>
      </c>
      <c r="BA80" s="690" t="s">
        <v>291</v>
      </c>
      <c r="BB80" s="691">
        <f t="shared" si="49"/>
        <v>0</v>
      </c>
      <c r="BC80" s="692">
        <v>0</v>
      </c>
      <c r="BD80" s="1502"/>
      <c r="BE80" s="817">
        <v>650</v>
      </c>
      <c r="BF80" s="690" t="s">
        <v>291</v>
      </c>
      <c r="BG80" s="690" t="s">
        <v>291</v>
      </c>
      <c r="BH80" s="690" t="s">
        <v>291</v>
      </c>
      <c r="BI80" s="691">
        <f t="shared" si="50"/>
        <v>0</v>
      </c>
      <c r="BJ80" s="692">
        <v>0</v>
      </c>
    </row>
    <row r="81" spans="1:62" ht="13.5" customHeight="1" x14ac:dyDescent="0.2">
      <c r="A81" s="1583"/>
      <c r="B81" s="1584"/>
      <c r="C81" s="1584"/>
      <c r="D81" s="1584"/>
      <c r="E81" s="1584"/>
      <c r="F81" s="1584"/>
      <c r="G81" s="1584"/>
      <c r="H81" s="1584"/>
      <c r="I81" s="1584"/>
      <c r="J81" s="1584"/>
      <c r="K81" s="1584"/>
      <c r="L81" s="1584"/>
      <c r="M81" s="1585"/>
      <c r="O81" s="1596"/>
      <c r="P81" s="1597"/>
      <c r="Q81" s="1597"/>
      <c r="R81" s="1597"/>
      <c r="S81" s="1597"/>
      <c r="T81" s="1598"/>
      <c r="V81" s="1541"/>
      <c r="W81" s="1541"/>
      <c r="X81" s="1541"/>
      <c r="Y81" s="1541"/>
      <c r="Z81" s="1541"/>
      <c r="AA81" s="1541"/>
      <c r="AB81" s="1541"/>
      <c r="AC81" s="1541"/>
      <c r="AD81" s="1541"/>
      <c r="AE81" s="1541"/>
      <c r="AF81" s="1541"/>
      <c r="AG81" s="1541"/>
      <c r="AH81" s="1541"/>
      <c r="AJ81" s="1493"/>
      <c r="AK81" s="1493"/>
      <c r="AL81" s="1493"/>
      <c r="AM81" s="1493"/>
      <c r="AN81" s="1493"/>
      <c r="AO81" s="1493"/>
      <c r="AP81" s="1493"/>
      <c r="AQ81" s="1493"/>
      <c r="AR81" s="1493"/>
      <c r="AS81" s="1493"/>
      <c r="AT81" s="1493"/>
      <c r="AU81" s="1493"/>
      <c r="AV81" s="1493"/>
      <c r="AX81" s="1491"/>
      <c r="AY81" s="1491"/>
      <c r="AZ81" s="1491"/>
      <c r="BA81" s="1491"/>
      <c r="BB81" s="1491"/>
      <c r="BC81" s="1491"/>
      <c r="BD81" s="1491"/>
      <c r="BE81" s="1491"/>
      <c r="BF81" s="1491"/>
      <c r="BG81" s="1491"/>
      <c r="BH81" s="1491"/>
      <c r="BI81" s="796"/>
      <c r="BJ81" s="796"/>
    </row>
    <row r="82" spans="1:62" ht="13.5" customHeight="1" x14ac:dyDescent="0.2">
      <c r="A82" s="822"/>
      <c r="B82" s="823"/>
      <c r="C82" s="823"/>
      <c r="D82" s="823"/>
      <c r="E82" s="823"/>
      <c r="F82" s="823"/>
      <c r="G82" s="823"/>
      <c r="H82" s="823"/>
      <c r="I82" s="823"/>
      <c r="J82" s="823"/>
      <c r="K82" s="823"/>
      <c r="L82" s="530"/>
      <c r="M82" s="824"/>
      <c r="O82" s="1599"/>
      <c r="P82" s="1600"/>
      <c r="Q82" s="1600"/>
      <c r="R82" s="1600"/>
      <c r="S82" s="1600"/>
      <c r="T82" s="1601"/>
      <c r="V82" s="1543"/>
      <c r="W82" s="1544"/>
      <c r="X82" s="1544"/>
      <c r="Y82" s="1544"/>
      <c r="Z82" s="1544"/>
      <c r="AA82" s="1544"/>
      <c r="AB82" s="1544"/>
      <c r="AC82" s="1544"/>
      <c r="AD82" s="1544"/>
      <c r="AE82" s="1544"/>
      <c r="AF82" s="1544"/>
      <c r="AG82" s="1544"/>
      <c r="AH82" s="1545"/>
      <c r="AJ82" s="1417"/>
      <c r="AK82" s="1418"/>
      <c r="AL82" s="1418"/>
      <c r="AM82" s="1418"/>
      <c r="AN82" s="1418"/>
      <c r="AO82" s="1418"/>
      <c r="AP82" s="1418"/>
      <c r="AQ82" s="1418"/>
      <c r="AR82" s="1418"/>
      <c r="AS82" s="1418"/>
      <c r="AT82" s="1418"/>
      <c r="AU82" s="1418"/>
      <c r="AV82" s="1419"/>
      <c r="AX82" s="825"/>
      <c r="AY82" s="826"/>
      <c r="AZ82" s="826"/>
      <c r="BA82" s="826"/>
      <c r="BB82" s="826"/>
      <c r="BC82" s="826"/>
      <c r="BD82" s="826"/>
      <c r="BE82" s="826"/>
      <c r="BF82" s="826"/>
      <c r="BG82" s="826"/>
      <c r="BH82" s="827"/>
      <c r="BI82" s="828"/>
      <c r="BJ82" s="828"/>
    </row>
    <row r="83" spans="1:62" ht="15.75" x14ac:dyDescent="0.2">
      <c r="A83" s="1589" t="s">
        <v>409</v>
      </c>
      <c r="B83" s="1590"/>
      <c r="C83" s="1590"/>
      <c r="D83" s="1590"/>
      <c r="E83" s="1590"/>
      <c r="F83" s="1590"/>
      <c r="G83" s="1590"/>
      <c r="H83" s="1590"/>
      <c r="I83" s="1590"/>
      <c r="J83" s="1590"/>
      <c r="K83" s="1590"/>
      <c r="L83" s="1590"/>
      <c r="M83" s="1591"/>
      <c r="O83" s="1602" t="s">
        <v>410</v>
      </c>
      <c r="P83" s="1603"/>
      <c r="Q83" s="1603"/>
      <c r="R83" s="1603"/>
      <c r="S83" s="1603"/>
      <c r="T83" s="1604"/>
      <c r="V83" s="1542" t="s">
        <v>411</v>
      </c>
      <c r="W83" s="1542"/>
      <c r="X83" s="1542"/>
      <c r="Y83" s="1542"/>
      <c r="Z83" s="1542"/>
      <c r="AA83" s="1542"/>
      <c r="AB83" s="1542"/>
      <c r="AC83" s="1542"/>
      <c r="AD83" s="1542"/>
      <c r="AE83" s="1542"/>
      <c r="AF83" s="1542"/>
      <c r="AG83" s="1542"/>
      <c r="AH83" s="1542"/>
      <c r="AJ83" s="1401" t="s">
        <v>412</v>
      </c>
      <c r="AK83" s="1401"/>
      <c r="AL83" s="1401"/>
      <c r="AM83" s="1401"/>
      <c r="AN83" s="1401"/>
      <c r="AO83" s="1401"/>
      <c r="AP83" s="1401"/>
      <c r="AQ83" s="1401"/>
      <c r="AR83" s="1401"/>
      <c r="AS83" s="1401"/>
      <c r="AT83" s="1401"/>
      <c r="AU83" s="1401"/>
      <c r="AV83" s="1401"/>
      <c r="AX83" s="1404">
        <v>2</v>
      </c>
      <c r="AY83" s="1405"/>
      <c r="AZ83" s="1405"/>
      <c r="BA83" s="1405"/>
      <c r="BB83" s="1405"/>
      <c r="BC83" s="1405"/>
      <c r="BD83" s="1405"/>
      <c r="BE83" s="1405"/>
      <c r="BF83" s="1405"/>
      <c r="BG83" s="1405"/>
      <c r="BH83" s="1405"/>
      <c r="BI83" s="1405"/>
      <c r="BJ83" s="1406"/>
    </row>
    <row r="84" spans="1:62" ht="15.75" customHeight="1" x14ac:dyDescent="0.2">
      <c r="A84" s="1536" t="str">
        <f>A54</f>
        <v>Channel 1</v>
      </c>
      <c r="B84" s="1536"/>
      <c r="C84" s="1536"/>
      <c r="D84" s="1536"/>
      <c r="E84" s="1486" t="s">
        <v>287</v>
      </c>
      <c r="F84" s="1487" t="s">
        <v>391</v>
      </c>
      <c r="G84" s="1534">
        <v>4</v>
      </c>
      <c r="H84" s="1536" t="str">
        <f>H54</f>
        <v>Channel 3</v>
      </c>
      <c r="I84" s="1536"/>
      <c r="J84" s="1536"/>
      <c r="K84" s="1536"/>
      <c r="L84" s="1486" t="s">
        <v>287</v>
      </c>
      <c r="M84" s="1487" t="s">
        <v>393</v>
      </c>
      <c r="O84" s="1471" t="str">
        <f>O54</f>
        <v>Single Channel</v>
      </c>
      <c r="P84" s="1472"/>
      <c r="Q84" s="1472"/>
      <c r="R84" s="1473"/>
      <c r="S84" s="1478" t="s">
        <v>287</v>
      </c>
      <c r="T84" s="1527" t="s">
        <v>393</v>
      </c>
      <c r="V84" s="1482" t="str">
        <f>V54</f>
        <v>Channel 1</v>
      </c>
      <c r="W84" s="1483"/>
      <c r="X84" s="1483"/>
      <c r="Y84" s="1484"/>
      <c r="Z84" s="1488" t="s">
        <v>287</v>
      </c>
      <c r="AA84" s="1469" t="s">
        <v>393</v>
      </c>
      <c r="AB84" s="1539">
        <v>6</v>
      </c>
      <c r="AC84" s="1482" t="str">
        <f>AC54</f>
        <v>Channel 3</v>
      </c>
      <c r="AD84" s="1483"/>
      <c r="AE84" s="1483"/>
      <c r="AF84" s="1484"/>
      <c r="AG84" s="1488" t="s">
        <v>287</v>
      </c>
      <c r="AH84" s="1469" t="s">
        <v>393</v>
      </c>
      <c r="AJ84" s="1402" t="str">
        <f>AJ54</f>
        <v>Channel 1</v>
      </c>
      <c r="AK84" s="1402"/>
      <c r="AL84" s="1402"/>
      <c r="AM84" s="1402"/>
      <c r="AN84" s="1403" t="s">
        <v>287</v>
      </c>
      <c r="AO84" s="1414" t="s">
        <v>393</v>
      </c>
      <c r="AP84" s="1458">
        <v>8</v>
      </c>
      <c r="AQ84" s="1402" t="str">
        <f>AQ54</f>
        <v>Channel 3</v>
      </c>
      <c r="AR84" s="1402"/>
      <c r="AS84" s="1402"/>
      <c r="AT84" s="1402"/>
      <c r="AU84" s="1403" t="s">
        <v>287</v>
      </c>
      <c r="AV84" s="1414" t="s">
        <v>393</v>
      </c>
      <c r="AX84" s="1407" t="str">
        <f>AX54</f>
        <v>Channel 1</v>
      </c>
      <c r="AY84" s="1408"/>
      <c r="AZ84" s="1408"/>
      <c r="BA84" s="1409"/>
      <c r="BB84" s="1413" t="s">
        <v>287</v>
      </c>
      <c r="BC84" s="1415" t="s">
        <v>393</v>
      </c>
      <c r="BD84" s="1416">
        <v>10</v>
      </c>
      <c r="BE84" s="1407" t="str">
        <f>BE54</f>
        <v>Channel 3</v>
      </c>
      <c r="BF84" s="1408"/>
      <c r="BG84" s="1408"/>
      <c r="BH84" s="1409"/>
      <c r="BI84" s="1413" t="s">
        <v>287</v>
      </c>
      <c r="BJ84" s="1415" t="s">
        <v>393</v>
      </c>
    </row>
    <row r="85" spans="1:62" ht="12.75" customHeight="1" x14ac:dyDescent="0.2">
      <c r="A85" s="752" t="s">
        <v>403</v>
      </c>
      <c r="B85" s="1486" t="s">
        <v>286</v>
      </c>
      <c r="C85" s="1486"/>
      <c r="D85" s="1486"/>
      <c r="E85" s="1486"/>
      <c r="F85" s="1487"/>
      <c r="G85" s="1534"/>
      <c r="H85" s="752" t="s">
        <v>403</v>
      </c>
      <c r="I85" s="1486" t="s">
        <v>286</v>
      </c>
      <c r="J85" s="1486"/>
      <c r="K85" s="1486"/>
      <c r="L85" s="1486"/>
      <c r="M85" s="1487"/>
      <c r="O85" s="797" t="s">
        <v>403</v>
      </c>
      <c r="P85" s="1474" t="s">
        <v>286</v>
      </c>
      <c r="Q85" s="1475"/>
      <c r="R85" s="1476"/>
      <c r="S85" s="1478"/>
      <c r="T85" s="1527"/>
      <c r="V85" s="798" t="s">
        <v>403</v>
      </c>
      <c r="W85" s="1479" t="s">
        <v>286</v>
      </c>
      <c r="X85" s="1480"/>
      <c r="Y85" s="1481"/>
      <c r="Z85" s="1488"/>
      <c r="AA85" s="1469"/>
      <c r="AB85" s="1539"/>
      <c r="AC85" s="798" t="s">
        <v>403</v>
      </c>
      <c r="AD85" s="1479" t="s">
        <v>286</v>
      </c>
      <c r="AE85" s="1480"/>
      <c r="AF85" s="1481"/>
      <c r="AG85" s="1488"/>
      <c r="AH85" s="1469"/>
      <c r="AJ85" s="799" t="s">
        <v>403</v>
      </c>
      <c r="AK85" s="1403" t="s">
        <v>286</v>
      </c>
      <c r="AL85" s="1403"/>
      <c r="AM85" s="1403"/>
      <c r="AN85" s="1403"/>
      <c r="AO85" s="1414"/>
      <c r="AP85" s="1459"/>
      <c r="AQ85" s="799" t="s">
        <v>403</v>
      </c>
      <c r="AR85" s="1403" t="s">
        <v>286</v>
      </c>
      <c r="AS85" s="1403"/>
      <c r="AT85" s="1403"/>
      <c r="AU85" s="1403"/>
      <c r="AV85" s="1414"/>
      <c r="AX85" s="800" t="s">
        <v>403</v>
      </c>
      <c r="AY85" s="1410" t="s">
        <v>286</v>
      </c>
      <c r="AZ85" s="1411"/>
      <c r="BA85" s="1412"/>
      <c r="BB85" s="1413"/>
      <c r="BC85" s="1415"/>
      <c r="BD85" s="1416"/>
      <c r="BE85" s="800" t="s">
        <v>403</v>
      </c>
      <c r="BF85" s="1410" t="s">
        <v>286</v>
      </c>
      <c r="BG85" s="1411"/>
      <c r="BH85" s="1412"/>
      <c r="BI85" s="1413"/>
      <c r="BJ85" s="1415"/>
    </row>
    <row r="86" spans="1:62" ht="15" customHeight="1" x14ac:dyDescent="0.2">
      <c r="A86" s="753" t="s">
        <v>404</v>
      </c>
      <c r="B86" s="801">
        <f>B56</f>
        <v>2018</v>
      </c>
      <c r="C86" s="801" t="str">
        <f>C56</f>
        <v>-</v>
      </c>
      <c r="D86" s="801" t="str">
        <f>D56</f>
        <v>-</v>
      </c>
      <c r="E86" s="1486"/>
      <c r="F86" s="1487"/>
      <c r="G86" s="1534"/>
      <c r="H86" s="753" t="s">
        <v>404</v>
      </c>
      <c r="I86" s="801">
        <f>B56</f>
        <v>2018</v>
      </c>
      <c r="J86" s="801" t="str">
        <f>C56</f>
        <v>-</v>
      </c>
      <c r="K86" s="801" t="str">
        <f>D56</f>
        <v>-</v>
      </c>
      <c r="L86" s="1486"/>
      <c r="M86" s="1487"/>
      <c r="O86" s="804" t="s">
        <v>404</v>
      </c>
      <c r="P86" s="829" t="str">
        <f>P56</f>
        <v>-</v>
      </c>
      <c r="Q86" s="829" t="str">
        <f t="shared" ref="Q86:R86" si="51">Q56</f>
        <v>-</v>
      </c>
      <c r="R86" s="829" t="str">
        <f t="shared" si="51"/>
        <v>-</v>
      </c>
      <c r="S86" s="1478"/>
      <c r="T86" s="1527"/>
      <c r="V86" s="806" t="s">
        <v>404</v>
      </c>
      <c r="W86" s="807">
        <f>W56</f>
        <v>2021</v>
      </c>
      <c r="X86" s="807">
        <f>X56</f>
        <v>2019</v>
      </c>
      <c r="Y86" s="798" t="str">
        <f>Y56</f>
        <v>-</v>
      </c>
      <c r="Z86" s="1488"/>
      <c r="AA86" s="1469"/>
      <c r="AB86" s="1539"/>
      <c r="AC86" s="806" t="s">
        <v>404</v>
      </c>
      <c r="AD86" s="807">
        <f>W56</f>
        <v>2021</v>
      </c>
      <c r="AE86" s="807">
        <f>X56</f>
        <v>2019</v>
      </c>
      <c r="AF86" s="798" t="str">
        <f>Y56</f>
        <v>-</v>
      </c>
      <c r="AG86" s="1488"/>
      <c r="AH86" s="1469"/>
      <c r="AJ86" s="809" t="s">
        <v>404</v>
      </c>
      <c r="AK86" s="810">
        <f>AK70</f>
        <v>2022</v>
      </c>
      <c r="AL86" s="810">
        <f>AL70</f>
        <v>2021</v>
      </c>
      <c r="AM86" s="810" t="str">
        <f>AM70</f>
        <v>-</v>
      </c>
      <c r="AN86" s="1403"/>
      <c r="AO86" s="1414"/>
      <c r="AP86" s="1459"/>
      <c r="AQ86" s="809" t="s">
        <v>404</v>
      </c>
      <c r="AR86" s="810">
        <f>AK86</f>
        <v>2022</v>
      </c>
      <c r="AS86" s="810">
        <f>AL86</f>
        <v>2021</v>
      </c>
      <c r="AT86" s="810" t="str">
        <f>AM86</f>
        <v>-</v>
      </c>
      <c r="AU86" s="1403"/>
      <c r="AV86" s="1414"/>
      <c r="AX86" s="812" t="s">
        <v>404</v>
      </c>
      <c r="AY86" s="800" t="str">
        <f>AY70</f>
        <v>-</v>
      </c>
      <c r="AZ86" s="800" t="str">
        <f>AZ70</f>
        <v>-</v>
      </c>
      <c r="BA86" s="800" t="str">
        <f>BA70</f>
        <v>-</v>
      </c>
      <c r="BB86" s="1413"/>
      <c r="BC86" s="1415"/>
      <c r="BD86" s="1416"/>
      <c r="BE86" s="812" t="s">
        <v>404</v>
      </c>
      <c r="BF86" s="800" t="str">
        <f>AY86</f>
        <v>-</v>
      </c>
      <c r="BG86" s="800" t="str">
        <f>AZ86</f>
        <v>-</v>
      </c>
      <c r="BH86" s="800" t="str">
        <f>BA86</f>
        <v>-</v>
      </c>
      <c r="BI86" s="1413"/>
      <c r="BJ86" s="1415"/>
    </row>
    <row r="87" spans="1:62" ht="12.75" customHeight="1" x14ac:dyDescent="0.2">
      <c r="A87" s="702">
        <v>0</v>
      </c>
      <c r="B87" s="668">
        <v>9.9999999999999995E-7</v>
      </c>
      <c r="C87" s="668" t="s">
        <v>291</v>
      </c>
      <c r="D87" s="668" t="s">
        <v>291</v>
      </c>
      <c r="E87" s="668">
        <v>9.9999999999999995E-7</v>
      </c>
      <c r="F87" s="668">
        <v>0.02</v>
      </c>
      <c r="G87" s="1534"/>
      <c r="H87" s="702">
        <v>0</v>
      </c>
      <c r="I87" s="668">
        <v>9.9999999999999995E-7</v>
      </c>
      <c r="J87" s="668" t="s">
        <v>291</v>
      </c>
      <c r="K87" s="668" t="s">
        <v>291</v>
      </c>
      <c r="L87" s="668">
        <v>9.9999999999999995E-7</v>
      </c>
      <c r="M87" s="668">
        <v>0.02</v>
      </c>
      <c r="O87" s="815">
        <v>0</v>
      </c>
      <c r="P87" s="673" t="s">
        <v>291</v>
      </c>
      <c r="Q87" s="674" t="s">
        <v>291</v>
      </c>
      <c r="R87" s="830"/>
      <c r="S87" s="674">
        <v>9.9999999999999995E-7</v>
      </c>
      <c r="T87" s="674">
        <v>0.11</v>
      </c>
      <c r="V87" s="504">
        <v>0</v>
      </c>
      <c r="W87" s="504">
        <v>9.9999999999999995E-7</v>
      </c>
      <c r="X87" s="504">
        <v>9.9999999999999995E-7</v>
      </c>
      <c r="Y87" s="676" t="s">
        <v>291</v>
      </c>
      <c r="Z87" s="504">
        <v>9.9999999999999995E-7</v>
      </c>
      <c r="AA87" s="504">
        <v>0.02</v>
      </c>
      <c r="AB87" s="1539"/>
      <c r="AC87" s="504">
        <v>0</v>
      </c>
      <c r="AD87" s="504">
        <v>9.9999999999999995E-7</v>
      </c>
      <c r="AE87" s="504">
        <v>9.9999999999999995E-7</v>
      </c>
      <c r="AF87" s="676" t="s">
        <v>291</v>
      </c>
      <c r="AG87" s="504">
        <v>9.9999999999999995E-7</v>
      </c>
      <c r="AH87" s="504">
        <v>0.02</v>
      </c>
      <c r="AJ87" s="816">
        <v>0</v>
      </c>
      <c r="AK87" s="686">
        <v>9.9999999999999995E-7</v>
      </c>
      <c r="AL87" s="686">
        <v>9.9999999999999995E-7</v>
      </c>
      <c r="AM87" s="684" t="s">
        <v>291</v>
      </c>
      <c r="AN87" s="686">
        <v>9.9999999999999995E-7</v>
      </c>
      <c r="AO87" s="686">
        <v>0.05</v>
      </c>
      <c r="AP87" s="1459"/>
      <c r="AQ87" s="816">
        <v>0</v>
      </c>
      <c r="AR87" s="686">
        <v>9.9999999999999995E-7</v>
      </c>
      <c r="AS87" s="686">
        <v>9.9999999999999995E-7</v>
      </c>
      <c r="AT87" s="684" t="s">
        <v>291</v>
      </c>
      <c r="AU87" s="686">
        <v>9.9999999999999995E-7</v>
      </c>
      <c r="AV87" s="686">
        <v>0.05</v>
      </c>
      <c r="AX87" s="817">
        <v>0</v>
      </c>
      <c r="AY87" s="692" t="s">
        <v>291</v>
      </c>
      <c r="AZ87" s="692" t="s">
        <v>291</v>
      </c>
      <c r="BA87" s="692" t="s">
        <v>291</v>
      </c>
      <c r="BB87" s="691">
        <v>9.9999999999999995E-7</v>
      </c>
      <c r="BC87" s="692">
        <v>0</v>
      </c>
      <c r="BD87" s="1416"/>
      <c r="BE87" s="817">
        <v>0</v>
      </c>
      <c r="BF87" s="692" t="s">
        <v>291</v>
      </c>
      <c r="BG87" s="692" t="s">
        <v>291</v>
      </c>
      <c r="BH87" s="692" t="s">
        <v>291</v>
      </c>
      <c r="BI87" s="691">
        <v>9.9999999999999995E-7</v>
      </c>
      <c r="BJ87" s="692">
        <v>0</v>
      </c>
    </row>
    <row r="88" spans="1:62" ht="12.75" customHeight="1" x14ac:dyDescent="0.2">
      <c r="A88" s="702">
        <v>5</v>
      </c>
      <c r="B88" s="668">
        <v>0.01</v>
      </c>
      <c r="C88" s="667" t="s">
        <v>291</v>
      </c>
      <c r="D88" s="667" t="s">
        <v>291</v>
      </c>
      <c r="E88" s="669">
        <f t="shared" ref="E88:E92" si="52">0.5*(MAX(B88:D88)-MIN(B88:D88))</f>
        <v>0</v>
      </c>
      <c r="F88" s="668">
        <v>0.02</v>
      </c>
      <c r="G88" s="1534"/>
      <c r="H88" s="702">
        <v>5</v>
      </c>
      <c r="I88" s="668">
        <v>0.02</v>
      </c>
      <c r="J88" s="667" t="s">
        <v>291</v>
      </c>
      <c r="K88" s="667" t="s">
        <v>291</v>
      </c>
      <c r="L88" s="669">
        <f t="shared" ref="L88:L92" si="53">0.5*(MAX(I88:K88)-MIN(I88:K88))</f>
        <v>0</v>
      </c>
      <c r="M88" s="668">
        <v>0.02</v>
      </c>
      <c r="O88" s="815">
        <v>0</v>
      </c>
      <c r="P88" s="673" t="s">
        <v>291</v>
      </c>
      <c r="Q88" s="673" t="s">
        <v>291</v>
      </c>
      <c r="R88" s="830"/>
      <c r="S88" s="675">
        <f t="shared" ref="S88:S92" si="54">0.5*(MAX(P88:R88)-MIN(P88:R88))</f>
        <v>0</v>
      </c>
      <c r="T88" s="674">
        <v>0.11</v>
      </c>
      <c r="V88" s="504">
        <v>5</v>
      </c>
      <c r="W88" s="504">
        <v>0.09</v>
      </c>
      <c r="X88" s="504">
        <v>-0.01</v>
      </c>
      <c r="Y88" s="676" t="s">
        <v>291</v>
      </c>
      <c r="Z88" s="503">
        <f t="shared" ref="Z88:Z92" si="55">0.5*(MAX(W88:Y88)-MIN(W88:Y88))</f>
        <v>4.9999999999999996E-2</v>
      </c>
      <c r="AA88" s="504">
        <v>0.02</v>
      </c>
      <c r="AB88" s="1539"/>
      <c r="AC88" s="504">
        <v>5</v>
      </c>
      <c r="AD88" s="504">
        <v>0.01</v>
      </c>
      <c r="AE88" s="504">
        <v>-0.03</v>
      </c>
      <c r="AF88" s="676" t="s">
        <v>291</v>
      </c>
      <c r="AG88" s="503">
        <f t="shared" ref="AG88:AG92" si="56">0.5*(MAX(AD88:AF88)-MIN(AD88:AF88))</f>
        <v>0.02</v>
      </c>
      <c r="AH88" s="504">
        <v>0.02</v>
      </c>
      <c r="AJ88" s="816">
        <v>5</v>
      </c>
      <c r="AK88" s="686">
        <v>-0.08</v>
      </c>
      <c r="AL88" s="686">
        <v>-0.01</v>
      </c>
      <c r="AM88" s="684" t="s">
        <v>291</v>
      </c>
      <c r="AN88" s="685">
        <f t="shared" ref="AN88:AN92" si="57">0.5*(MAX(AK88:AL88)-MIN(AK88:AL88))</f>
        <v>3.5000000000000003E-2</v>
      </c>
      <c r="AO88" s="686">
        <v>0.05</v>
      </c>
      <c r="AP88" s="1459"/>
      <c r="AQ88" s="816">
        <v>5</v>
      </c>
      <c r="AR88" s="686">
        <f>0-0.03</f>
        <v>-0.03</v>
      </c>
      <c r="AS88" s="686">
        <v>-0.05</v>
      </c>
      <c r="AT88" s="684" t="s">
        <v>291</v>
      </c>
      <c r="AU88" s="686">
        <f t="shared" ref="AU88:AU92" si="58">0.5*(MAX(AR88:AS88)-MIN(AR88:AS88))</f>
        <v>1.0000000000000002E-2</v>
      </c>
      <c r="AV88" s="686">
        <v>0.05</v>
      </c>
      <c r="AX88" s="817">
        <v>10</v>
      </c>
      <c r="AY88" s="690" t="s">
        <v>291</v>
      </c>
      <c r="AZ88" s="690" t="s">
        <v>291</v>
      </c>
      <c r="BA88" s="690" t="s">
        <v>291</v>
      </c>
      <c r="BB88" s="691">
        <f t="shared" ref="BB88:BB92" si="59">0.5*(MAX(AY88:AZ88)-MIN(AY88:AZ88))</f>
        <v>0</v>
      </c>
      <c r="BC88" s="692">
        <v>0</v>
      </c>
      <c r="BD88" s="1416"/>
      <c r="BE88" s="817">
        <v>10</v>
      </c>
      <c r="BF88" s="690" t="s">
        <v>291</v>
      </c>
      <c r="BG88" s="690" t="s">
        <v>291</v>
      </c>
      <c r="BH88" s="690" t="s">
        <v>291</v>
      </c>
      <c r="BI88" s="692">
        <f t="shared" ref="BI88:BI92" si="60">0.5*(MAX(BF88:BG88)-MIN(BF88:BG88))</f>
        <v>0</v>
      </c>
      <c r="BJ88" s="692">
        <v>0</v>
      </c>
    </row>
    <row r="89" spans="1:62" ht="12.75" customHeight="1" x14ac:dyDescent="0.2">
      <c r="A89" s="702">
        <v>10</v>
      </c>
      <c r="B89" s="668">
        <v>9.9999999999999995E-7</v>
      </c>
      <c r="C89" s="667" t="s">
        <v>291</v>
      </c>
      <c r="D89" s="667" t="s">
        <v>291</v>
      </c>
      <c r="E89" s="669">
        <f t="shared" si="52"/>
        <v>0</v>
      </c>
      <c r="F89" s="668">
        <v>0.02</v>
      </c>
      <c r="G89" s="1534"/>
      <c r="H89" s="702">
        <v>10</v>
      </c>
      <c r="I89" s="668">
        <v>0.01</v>
      </c>
      <c r="J89" s="667" t="s">
        <v>291</v>
      </c>
      <c r="K89" s="667" t="s">
        <v>291</v>
      </c>
      <c r="L89" s="669">
        <f t="shared" si="53"/>
        <v>0</v>
      </c>
      <c r="M89" s="668">
        <v>0.02</v>
      </c>
      <c r="O89" s="815">
        <v>0</v>
      </c>
      <c r="P89" s="673" t="s">
        <v>291</v>
      </c>
      <c r="Q89" s="673" t="s">
        <v>291</v>
      </c>
      <c r="R89" s="830"/>
      <c r="S89" s="675">
        <f t="shared" si="54"/>
        <v>0</v>
      </c>
      <c r="T89" s="674">
        <v>0.11</v>
      </c>
      <c r="V89" s="504">
        <v>10</v>
      </c>
      <c r="W89" s="504">
        <v>7.0000000000000007E-2</v>
      </c>
      <c r="X89" s="504">
        <v>-0.03</v>
      </c>
      <c r="Y89" s="676" t="s">
        <v>291</v>
      </c>
      <c r="Z89" s="503">
        <f t="shared" si="55"/>
        <v>0.05</v>
      </c>
      <c r="AA89" s="504">
        <v>0.02</v>
      </c>
      <c r="AB89" s="1539"/>
      <c r="AC89" s="504">
        <v>10</v>
      </c>
      <c r="AD89" s="504">
        <v>9.9999999999999995E-7</v>
      </c>
      <c r="AE89" s="504">
        <v>-0.01</v>
      </c>
      <c r="AF89" s="676" t="s">
        <v>291</v>
      </c>
      <c r="AG89" s="503">
        <f t="shared" si="56"/>
        <v>5.0004999999999997E-3</v>
      </c>
      <c r="AH89" s="504">
        <v>0.02</v>
      </c>
      <c r="AJ89" s="816">
        <v>10</v>
      </c>
      <c r="AK89" s="686">
        <v>-0.12</v>
      </c>
      <c r="AL89" s="686">
        <v>-7.0000000000000007E-2</v>
      </c>
      <c r="AM89" s="684" t="s">
        <v>291</v>
      </c>
      <c r="AN89" s="685">
        <f t="shared" si="57"/>
        <v>2.4999999999999994E-2</v>
      </c>
      <c r="AO89" s="686">
        <v>0.05</v>
      </c>
      <c r="AP89" s="1459"/>
      <c r="AQ89" s="816">
        <v>10</v>
      </c>
      <c r="AR89" s="686">
        <v>-7.0000000000000007E-2</v>
      </c>
      <c r="AS89" s="686">
        <v>-0.08</v>
      </c>
      <c r="AT89" s="684" t="s">
        <v>291</v>
      </c>
      <c r="AU89" s="686">
        <f t="shared" si="58"/>
        <v>4.9999999999999975E-3</v>
      </c>
      <c r="AV89" s="686">
        <v>0.05</v>
      </c>
      <c r="AX89" s="817">
        <v>20</v>
      </c>
      <c r="AY89" s="690" t="s">
        <v>291</v>
      </c>
      <c r="AZ89" s="690" t="s">
        <v>291</v>
      </c>
      <c r="BA89" s="690" t="s">
        <v>291</v>
      </c>
      <c r="BB89" s="691">
        <f t="shared" si="59"/>
        <v>0</v>
      </c>
      <c r="BC89" s="692">
        <v>0</v>
      </c>
      <c r="BD89" s="1416"/>
      <c r="BE89" s="817">
        <v>20</v>
      </c>
      <c r="BF89" s="690" t="s">
        <v>291</v>
      </c>
      <c r="BG89" s="690" t="s">
        <v>291</v>
      </c>
      <c r="BH89" s="690" t="s">
        <v>291</v>
      </c>
      <c r="BI89" s="692">
        <f t="shared" si="60"/>
        <v>0</v>
      </c>
      <c r="BJ89" s="692">
        <v>0</v>
      </c>
    </row>
    <row r="90" spans="1:62" ht="12.75" customHeight="1" x14ac:dyDescent="0.2">
      <c r="A90" s="702">
        <v>20</v>
      </c>
      <c r="B90" s="668">
        <v>9.9999999999999995E-7</v>
      </c>
      <c r="C90" s="667" t="s">
        <v>291</v>
      </c>
      <c r="D90" s="667" t="s">
        <v>291</v>
      </c>
      <c r="E90" s="669">
        <f t="shared" si="52"/>
        <v>0</v>
      </c>
      <c r="F90" s="668">
        <v>0.02</v>
      </c>
      <c r="G90" s="1534"/>
      <c r="H90" s="702">
        <v>20</v>
      </c>
      <c r="I90" s="668">
        <v>0.02</v>
      </c>
      <c r="J90" s="667" t="s">
        <v>291</v>
      </c>
      <c r="K90" s="667" t="s">
        <v>291</v>
      </c>
      <c r="L90" s="669">
        <f t="shared" si="53"/>
        <v>0</v>
      </c>
      <c r="M90" s="668">
        <v>0.02</v>
      </c>
      <c r="O90" s="815">
        <v>0</v>
      </c>
      <c r="P90" s="673" t="s">
        <v>291</v>
      </c>
      <c r="Q90" s="673" t="s">
        <v>291</v>
      </c>
      <c r="R90" s="830"/>
      <c r="S90" s="675">
        <f t="shared" si="54"/>
        <v>0</v>
      </c>
      <c r="T90" s="674">
        <v>0.11</v>
      </c>
      <c r="V90" s="504">
        <v>15</v>
      </c>
      <c r="W90" s="504">
        <v>0.04</v>
      </c>
      <c r="X90" s="504">
        <v>-0.03</v>
      </c>
      <c r="Y90" s="676" t="s">
        <v>291</v>
      </c>
      <c r="Z90" s="503">
        <f t="shared" si="55"/>
        <v>3.5000000000000003E-2</v>
      </c>
      <c r="AA90" s="504">
        <v>0.02</v>
      </c>
      <c r="AB90" s="1539"/>
      <c r="AC90" s="504">
        <v>15</v>
      </c>
      <c r="AD90" s="504">
        <v>-0.02</v>
      </c>
      <c r="AE90" s="504">
        <v>-0.01</v>
      </c>
      <c r="AF90" s="676" t="s">
        <v>291</v>
      </c>
      <c r="AG90" s="503">
        <f t="shared" si="56"/>
        <v>5.0000000000000001E-3</v>
      </c>
      <c r="AH90" s="504">
        <v>0.02</v>
      </c>
      <c r="AJ90" s="816">
        <v>15</v>
      </c>
      <c r="AK90" s="686">
        <v>-0.12</v>
      </c>
      <c r="AL90" s="686">
        <v>-0.06</v>
      </c>
      <c r="AM90" s="684" t="s">
        <v>291</v>
      </c>
      <c r="AN90" s="685">
        <f t="shared" si="57"/>
        <v>0.03</v>
      </c>
      <c r="AO90" s="686">
        <v>0.05</v>
      </c>
      <c r="AP90" s="1459"/>
      <c r="AQ90" s="816">
        <v>15</v>
      </c>
      <c r="AR90" s="686">
        <v>-0.09</v>
      </c>
      <c r="AS90" s="686">
        <v>-0.12</v>
      </c>
      <c r="AT90" s="684" t="s">
        <v>291</v>
      </c>
      <c r="AU90" s="686">
        <f t="shared" si="58"/>
        <v>1.4999999999999999E-2</v>
      </c>
      <c r="AV90" s="686">
        <v>0.05</v>
      </c>
      <c r="AX90" s="817">
        <v>30</v>
      </c>
      <c r="AY90" s="690" t="s">
        <v>291</v>
      </c>
      <c r="AZ90" s="690" t="s">
        <v>291</v>
      </c>
      <c r="BA90" s="690" t="s">
        <v>291</v>
      </c>
      <c r="BB90" s="691">
        <f t="shared" si="59"/>
        <v>0</v>
      </c>
      <c r="BC90" s="692">
        <v>0</v>
      </c>
      <c r="BD90" s="1416"/>
      <c r="BE90" s="817">
        <v>30</v>
      </c>
      <c r="BF90" s="690" t="s">
        <v>291</v>
      </c>
      <c r="BG90" s="690" t="s">
        <v>291</v>
      </c>
      <c r="BH90" s="690" t="s">
        <v>291</v>
      </c>
      <c r="BI90" s="692">
        <f t="shared" si="60"/>
        <v>0</v>
      </c>
      <c r="BJ90" s="692">
        <v>0</v>
      </c>
    </row>
    <row r="91" spans="1:62" ht="13.5" customHeight="1" x14ac:dyDescent="0.2">
      <c r="A91" s="702">
        <v>25</v>
      </c>
      <c r="B91" s="668">
        <v>0.03</v>
      </c>
      <c r="C91" s="667" t="s">
        <v>291</v>
      </c>
      <c r="D91" s="667" t="s">
        <v>291</v>
      </c>
      <c r="E91" s="669">
        <f t="shared" si="52"/>
        <v>0</v>
      </c>
      <c r="F91" s="668">
        <v>0.02</v>
      </c>
      <c r="G91" s="1534"/>
      <c r="H91" s="702">
        <v>25</v>
      </c>
      <c r="I91" s="668">
        <v>0.02</v>
      </c>
      <c r="J91" s="667" t="s">
        <v>291</v>
      </c>
      <c r="K91" s="667" t="s">
        <v>291</v>
      </c>
      <c r="L91" s="669">
        <f t="shared" si="53"/>
        <v>0</v>
      </c>
      <c r="M91" s="668">
        <v>0.02</v>
      </c>
      <c r="O91" s="815">
        <v>0</v>
      </c>
      <c r="P91" s="673" t="s">
        <v>291</v>
      </c>
      <c r="Q91" s="673" t="s">
        <v>291</v>
      </c>
      <c r="R91" s="830"/>
      <c r="S91" s="675">
        <f t="shared" si="54"/>
        <v>0</v>
      </c>
      <c r="T91" s="674">
        <v>1.0999999999999999E-2</v>
      </c>
      <c r="V91" s="504">
        <v>20</v>
      </c>
      <c r="W91" s="504">
        <v>0.06</v>
      </c>
      <c r="X91" s="504">
        <v>0.03</v>
      </c>
      <c r="Y91" s="676" t="s">
        <v>291</v>
      </c>
      <c r="Z91" s="503">
        <f t="shared" si="55"/>
        <v>1.4999999999999999E-2</v>
      </c>
      <c r="AA91" s="504">
        <v>0.02</v>
      </c>
      <c r="AB91" s="1539"/>
      <c r="AC91" s="504">
        <v>20</v>
      </c>
      <c r="AD91" s="504">
        <v>-0.03</v>
      </c>
      <c r="AE91" s="504">
        <v>-0.01</v>
      </c>
      <c r="AF91" s="676" t="s">
        <v>291</v>
      </c>
      <c r="AG91" s="503">
        <f t="shared" si="56"/>
        <v>9.9999999999999985E-3</v>
      </c>
      <c r="AH91" s="504">
        <v>0.02</v>
      </c>
      <c r="AJ91" s="816">
        <v>20</v>
      </c>
      <c r="AK91" s="686">
        <v>-0.13</v>
      </c>
      <c r="AL91" s="686">
        <v>-7.0000000000000007E-2</v>
      </c>
      <c r="AM91" s="684" t="s">
        <v>291</v>
      </c>
      <c r="AN91" s="685">
        <f t="shared" si="57"/>
        <v>0.03</v>
      </c>
      <c r="AO91" s="686">
        <v>0.05</v>
      </c>
      <c r="AP91" s="1459"/>
      <c r="AQ91" s="816">
        <v>20</v>
      </c>
      <c r="AR91" s="686">
        <v>-0.11</v>
      </c>
      <c r="AS91" s="686">
        <v>-0.14000000000000001</v>
      </c>
      <c r="AT91" s="684" t="s">
        <v>291</v>
      </c>
      <c r="AU91" s="686">
        <f t="shared" si="58"/>
        <v>1.5000000000000006E-2</v>
      </c>
      <c r="AV91" s="686">
        <v>0.05</v>
      </c>
      <c r="AX91" s="817">
        <v>40</v>
      </c>
      <c r="AY91" s="690" t="s">
        <v>291</v>
      </c>
      <c r="AZ91" s="690" t="s">
        <v>291</v>
      </c>
      <c r="BA91" s="690" t="s">
        <v>291</v>
      </c>
      <c r="BB91" s="691">
        <f t="shared" si="59"/>
        <v>0</v>
      </c>
      <c r="BC91" s="692">
        <v>0</v>
      </c>
      <c r="BD91" s="1416"/>
      <c r="BE91" s="817">
        <v>40</v>
      </c>
      <c r="BF91" s="690" t="s">
        <v>291</v>
      </c>
      <c r="BG91" s="690" t="s">
        <v>291</v>
      </c>
      <c r="BH91" s="690" t="s">
        <v>291</v>
      </c>
      <c r="BI91" s="692">
        <f t="shared" si="60"/>
        <v>0</v>
      </c>
      <c r="BJ91" s="692">
        <v>0</v>
      </c>
    </row>
    <row r="92" spans="1:62" ht="13.5" customHeight="1" x14ac:dyDescent="0.2">
      <c r="A92" s="702">
        <v>30</v>
      </c>
      <c r="B92" s="668">
        <v>0.03</v>
      </c>
      <c r="C92" s="667" t="s">
        <v>291</v>
      </c>
      <c r="D92" s="667" t="s">
        <v>291</v>
      </c>
      <c r="E92" s="669">
        <f t="shared" si="52"/>
        <v>0</v>
      </c>
      <c r="F92" s="668">
        <v>0.02</v>
      </c>
      <c r="G92" s="1534"/>
      <c r="H92" s="702">
        <v>30</v>
      </c>
      <c r="I92" s="668">
        <v>0.02</v>
      </c>
      <c r="J92" s="667" t="s">
        <v>291</v>
      </c>
      <c r="K92" s="667" t="s">
        <v>291</v>
      </c>
      <c r="L92" s="669">
        <f t="shared" si="53"/>
        <v>0</v>
      </c>
      <c r="M92" s="668">
        <v>0.02</v>
      </c>
      <c r="O92" s="815">
        <v>0</v>
      </c>
      <c r="P92" s="673" t="s">
        <v>291</v>
      </c>
      <c r="Q92" s="673" t="s">
        <v>291</v>
      </c>
      <c r="R92" s="830"/>
      <c r="S92" s="675">
        <f t="shared" si="54"/>
        <v>0</v>
      </c>
      <c r="T92" s="674">
        <v>1.0999999999999999E-2</v>
      </c>
      <c r="V92" s="504">
        <v>30</v>
      </c>
      <c r="W92" s="504">
        <v>0.06</v>
      </c>
      <c r="X92" s="504">
        <v>0.03</v>
      </c>
      <c r="Y92" s="676" t="s">
        <v>291</v>
      </c>
      <c r="Z92" s="503">
        <f t="shared" si="55"/>
        <v>1.4999999999999999E-2</v>
      </c>
      <c r="AA92" s="504">
        <v>0.02</v>
      </c>
      <c r="AB92" s="1539"/>
      <c r="AC92" s="504">
        <v>30</v>
      </c>
      <c r="AD92" s="504">
        <v>-0.02</v>
      </c>
      <c r="AE92" s="504">
        <v>-0.01</v>
      </c>
      <c r="AF92" s="676" t="s">
        <v>291</v>
      </c>
      <c r="AG92" s="503">
        <f t="shared" si="56"/>
        <v>5.0000000000000001E-3</v>
      </c>
      <c r="AH92" s="504">
        <v>0.02</v>
      </c>
      <c r="AJ92" s="816">
        <v>25</v>
      </c>
      <c r="AK92" s="686">
        <v>-0.14000000000000001</v>
      </c>
      <c r="AL92" s="686">
        <v>-0.09</v>
      </c>
      <c r="AM92" s="684" t="s">
        <v>291</v>
      </c>
      <c r="AN92" s="685">
        <f t="shared" si="57"/>
        <v>2.5000000000000008E-2</v>
      </c>
      <c r="AO92" s="686">
        <v>0.05</v>
      </c>
      <c r="AP92" s="1459"/>
      <c r="AQ92" s="816">
        <v>25</v>
      </c>
      <c r="AR92" s="686">
        <v>-0.1</v>
      </c>
      <c r="AS92" s="686">
        <v>-0.16</v>
      </c>
      <c r="AT92" s="684" t="s">
        <v>291</v>
      </c>
      <c r="AU92" s="686">
        <f t="shared" si="58"/>
        <v>0.03</v>
      </c>
      <c r="AV92" s="686">
        <v>0.05</v>
      </c>
      <c r="AX92" s="817">
        <v>50</v>
      </c>
      <c r="AY92" s="690" t="s">
        <v>291</v>
      </c>
      <c r="AZ92" s="690" t="s">
        <v>291</v>
      </c>
      <c r="BA92" s="690" t="s">
        <v>291</v>
      </c>
      <c r="BB92" s="691">
        <f t="shared" si="59"/>
        <v>0</v>
      </c>
      <c r="BC92" s="692">
        <v>0</v>
      </c>
      <c r="BD92" s="1416"/>
      <c r="BE92" s="817">
        <v>50</v>
      </c>
      <c r="BF92" s="690" t="s">
        <v>291</v>
      </c>
      <c r="BG92" s="690" t="s">
        <v>291</v>
      </c>
      <c r="BH92" s="690" t="s">
        <v>291</v>
      </c>
      <c r="BI92" s="692">
        <f t="shared" si="60"/>
        <v>0</v>
      </c>
      <c r="BJ92" s="692">
        <v>0</v>
      </c>
    </row>
    <row r="93" spans="1:62" ht="13.5" customHeight="1" x14ac:dyDescent="0.2">
      <c r="A93" s="1533"/>
      <c r="B93" s="1533"/>
      <c r="C93" s="1533"/>
      <c r="D93" s="1533"/>
      <c r="E93" s="1533"/>
      <c r="F93" s="818"/>
      <c r="G93" s="1534"/>
      <c r="H93" s="1533"/>
      <c r="I93" s="1533"/>
      <c r="J93" s="1533"/>
      <c r="K93" s="1533"/>
      <c r="L93" s="1533"/>
      <c r="M93" s="818"/>
      <c r="O93" s="1477"/>
      <c r="P93" s="1477"/>
      <c r="Q93" s="1477"/>
      <c r="R93" s="1477"/>
      <c r="S93" s="1477"/>
      <c r="T93" s="819"/>
      <c r="V93" s="1529"/>
      <c r="W93" s="1529"/>
      <c r="X93" s="1529"/>
      <c r="Y93" s="1529"/>
      <c r="Z93" s="1529"/>
      <c r="AA93" s="820"/>
      <c r="AB93" s="1539"/>
      <c r="AC93" s="1529"/>
      <c r="AD93" s="1529"/>
      <c r="AE93" s="1529"/>
      <c r="AF93" s="1529"/>
      <c r="AG93" s="1529"/>
      <c r="AH93" s="820"/>
      <c r="AJ93" s="1489"/>
      <c r="AK93" s="1489"/>
      <c r="AL93" s="1489"/>
      <c r="AM93" s="1489"/>
      <c r="AN93" s="1489"/>
      <c r="AO93" s="821"/>
      <c r="AP93" s="1459"/>
      <c r="AQ93" s="1489"/>
      <c r="AR93" s="1489"/>
      <c r="AS93" s="1489"/>
      <c r="AT93" s="1489"/>
      <c r="AU93" s="1489"/>
      <c r="AV93" s="821"/>
      <c r="AX93" s="1490"/>
      <c r="AY93" s="1490"/>
      <c r="AZ93" s="1490"/>
      <c r="BA93" s="1490"/>
      <c r="BB93" s="1490"/>
      <c r="BC93" s="796"/>
      <c r="BD93" s="1416"/>
      <c r="BE93" s="1490"/>
      <c r="BF93" s="1490"/>
      <c r="BG93" s="1490"/>
      <c r="BH93" s="1490"/>
      <c r="BI93" s="1490"/>
      <c r="BJ93" s="796"/>
    </row>
    <row r="94" spans="1:62" ht="15.75" customHeight="1" x14ac:dyDescent="0.2">
      <c r="A94" s="1536" t="str">
        <f>A68</f>
        <v>Channel 2</v>
      </c>
      <c r="B94" s="1536"/>
      <c r="C94" s="1536"/>
      <c r="D94" s="1536"/>
      <c r="E94" s="1486" t="s">
        <v>287</v>
      </c>
      <c r="F94" s="1487" t="s">
        <v>391</v>
      </c>
      <c r="G94" s="1534"/>
      <c r="H94" s="1536" t="str">
        <f>H68</f>
        <v>Channel 4</v>
      </c>
      <c r="I94" s="1536"/>
      <c r="J94" s="1536"/>
      <c r="K94" s="1536"/>
      <c r="L94" s="1486" t="s">
        <v>287</v>
      </c>
      <c r="M94" s="1487" t="s">
        <v>393</v>
      </c>
      <c r="V94" s="1482" t="str">
        <f>V68</f>
        <v>Channel 2</v>
      </c>
      <c r="W94" s="1483"/>
      <c r="X94" s="1483"/>
      <c r="Y94" s="1484"/>
      <c r="Z94" s="1488" t="s">
        <v>287</v>
      </c>
      <c r="AA94" s="1469" t="s">
        <v>393</v>
      </c>
      <c r="AB94" s="1539"/>
      <c r="AC94" s="1482" t="str">
        <f>AC68</f>
        <v>Channel 4</v>
      </c>
      <c r="AD94" s="1483"/>
      <c r="AE94" s="1483"/>
      <c r="AF94" s="1484"/>
      <c r="AG94" s="1488" t="s">
        <v>287</v>
      </c>
      <c r="AH94" s="1469" t="s">
        <v>393</v>
      </c>
      <c r="AJ94" s="1402" t="str">
        <f>AJ68</f>
        <v>Channel 2</v>
      </c>
      <c r="AK94" s="1402"/>
      <c r="AL94" s="1402"/>
      <c r="AM94" s="1402"/>
      <c r="AN94" s="1403" t="s">
        <v>287</v>
      </c>
      <c r="AO94" s="1414" t="s">
        <v>393</v>
      </c>
      <c r="AP94" s="1459"/>
      <c r="AQ94" s="1402" t="str">
        <f>AQ68</f>
        <v>Channel 4</v>
      </c>
      <c r="AR94" s="1402"/>
      <c r="AS94" s="1402"/>
      <c r="AT94" s="1402"/>
      <c r="AU94" s="1403" t="s">
        <v>287</v>
      </c>
      <c r="AV94" s="1414" t="s">
        <v>393</v>
      </c>
      <c r="AX94" s="1407" t="str">
        <f>AX68</f>
        <v>Channel 2</v>
      </c>
      <c r="AY94" s="1408"/>
      <c r="AZ94" s="1408"/>
      <c r="BA94" s="1409"/>
      <c r="BB94" s="1413" t="s">
        <v>287</v>
      </c>
      <c r="BC94" s="1415" t="s">
        <v>393</v>
      </c>
      <c r="BD94" s="1416"/>
      <c r="BE94" s="1407" t="str">
        <f>BE68</f>
        <v>Channel 4</v>
      </c>
      <c r="BF94" s="1408"/>
      <c r="BG94" s="1408"/>
      <c r="BH94" s="1409"/>
      <c r="BI94" s="1413" t="s">
        <v>287</v>
      </c>
      <c r="BJ94" s="1415" t="s">
        <v>393</v>
      </c>
    </row>
    <row r="95" spans="1:62" ht="12.75" customHeight="1" x14ac:dyDescent="0.2">
      <c r="A95" s="752" t="s">
        <v>403</v>
      </c>
      <c r="B95" s="1486" t="s">
        <v>286</v>
      </c>
      <c r="C95" s="1486"/>
      <c r="D95" s="1486"/>
      <c r="E95" s="1486"/>
      <c r="F95" s="1487"/>
      <c r="G95" s="1534"/>
      <c r="H95" s="752" t="s">
        <v>403</v>
      </c>
      <c r="I95" s="1486" t="s">
        <v>286</v>
      </c>
      <c r="J95" s="1486"/>
      <c r="K95" s="1486"/>
      <c r="L95" s="1486"/>
      <c r="M95" s="1487"/>
      <c r="V95" s="798" t="s">
        <v>403</v>
      </c>
      <c r="W95" s="1479" t="s">
        <v>286</v>
      </c>
      <c r="X95" s="1480"/>
      <c r="Y95" s="1481"/>
      <c r="Z95" s="1488"/>
      <c r="AA95" s="1469"/>
      <c r="AB95" s="1539"/>
      <c r="AC95" s="798" t="s">
        <v>403</v>
      </c>
      <c r="AD95" s="1479" t="s">
        <v>286</v>
      </c>
      <c r="AE95" s="1480"/>
      <c r="AF95" s="1481"/>
      <c r="AG95" s="1488"/>
      <c r="AH95" s="1469"/>
      <c r="AJ95" s="799" t="s">
        <v>403</v>
      </c>
      <c r="AK95" s="1403" t="s">
        <v>286</v>
      </c>
      <c r="AL95" s="1403"/>
      <c r="AM95" s="1403"/>
      <c r="AN95" s="1403"/>
      <c r="AO95" s="1414"/>
      <c r="AP95" s="1459"/>
      <c r="AQ95" s="799" t="s">
        <v>403</v>
      </c>
      <c r="AR95" s="1403" t="s">
        <v>286</v>
      </c>
      <c r="AS95" s="1403"/>
      <c r="AT95" s="1403"/>
      <c r="AU95" s="1403"/>
      <c r="AV95" s="1414"/>
      <c r="AX95" s="800" t="s">
        <v>403</v>
      </c>
      <c r="AY95" s="1410" t="s">
        <v>286</v>
      </c>
      <c r="AZ95" s="1411"/>
      <c r="BA95" s="1412"/>
      <c r="BB95" s="1413"/>
      <c r="BC95" s="1415"/>
      <c r="BD95" s="1416"/>
      <c r="BE95" s="800" t="s">
        <v>403</v>
      </c>
      <c r="BF95" s="1410" t="s">
        <v>286</v>
      </c>
      <c r="BG95" s="1411"/>
      <c r="BH95" s="1412"/>
      <c r="BI95" s="1413"/>
      <c r="BJ95" s="1415"/>
    </row>
    <row r="96" spans="1:62" ht="15" customHeight="1" x14ac:dyDescent="0.2">
      <c r="A96" s="753" t="s">
        <v>404</v>
      </c>
      <c r="B96" s="801">
        <f>B56</f>
        <v>2018</v>
      </c>
      <c r="C96" s="801" t="str">
        <f>C56</f>
        <v>-</v>
      </c>
      <c r="D96" s="801" t="str">
        <f>D56</f>
        <v>-</v>
      </c>
      <c r="E96" s="1486"/>
      <c r="F96" s="1487"/>
      <c r="G96" s="1534"/>
      <c r="H96" s="753" t="s">
        <v>404</v>
      </c>
      <c r="I96" s="801">
        <f>B56</f>
        <v>2018</v>
      </c>
      <c r="J96" s="801" t="str">
        <f>C56</f>
        <v>-</v>
      </c>
      <c r="K96" s="801" t="str">
        <f>D56</f>
        <v>-</v>
      </c>
      <c r="L96" s="1486"/>
      <c r="M96" s="1487"/>
      <c r="V96" s="806" t="s">
        <v>404</v>
      </c>
      <c r="W96" s="807">
        <f>W56</f>
        <v>2021</v>
      </c>
      <c r="X96" s="807">
        <f>X56</f>
        <v>2019</v>
      </c>
      <c r="Y96" s="798" t="str">
        <f>Y56</f>
        <v>-</v>
      </c>
      <c r="Z96" s="1488"/>
      <c r="AA96" s="1469"/>
      <c r="AB96" s="1539"/>
      <c r="AC96" s="806" t="s">
        <v>404</v>
      </c>
      <c r="AD96" s="807">
        <f>W56</f>
        <v>2021</v>
      </c>
      <c r="AE96" s="807">
        <f>X56</f>
        <v>2019</v>
      </c>
      <c r="AF96" s="798" t="str">
        <f>Y56</f>
        <v>-</v>
      </c>
      <c r="AG96" s="1488"/>
      <c r="AH96" s="1469"/>
      <c r="AJ96" s="809" t="s">
        <v>404</v>
      </c>
      <c r="AK96" s="810">
        <f>AK86</f>
        <v>2022</v>
      </c>
      <c r="AL96" s="810">
        <f>AL86</f>
        <v>2021</v>
      </c>
      <c r="AM96" s="810" t="str">
        <f>AM86</f>
        <v>-</v>
      </c>
      <c r="AN96" s="1403"/>
      <c r="AO96" s="1414"/>
      <c r="AP96" s="1459"/>
      <c r="AQ96" s="809" t="s">
        <v>404</v>
      </c>
      <c r="AR96" s="810">
        <f>AK86</f>
        <v>2022</v>
      </c>
      <c r="AS96" s="810">
        <f>AL86</f>
        <v>2021</v>
      </c>
      <c r="AT96" s="810" t="str">
        <f>AM86</f>
        <v>-</v>
      </c>
      <c r="AU96" s="1403"/>
      <c r="AV96" s="1414"/>
      <c r="AX96" s="812" t="s">
        <v>404</v>
      </c>
      <c r="AY96" s="800" t="str">
        <f>AY86</f>
        <v>-</v>
      </c>
      <c r="AZ96" s="800" t="str">
        <f>AZ86</f>
        <v>-</v>
      </c>
      <c r="BA96" s="800" t="str">
        <f>BA86</f>
        <v>-</v>
      </c>
      <c r="BB96" s="1413"/>
      <c r="BC96" s="1415"/>
      <c r="BD96" s="1416"/>
      <c r="BE96" s="812" t="s">
        <v>404</v>
      </c>
      <c r="BF96" s="800" t="str">
        <f>AY86</f>
        <v>-</v>
      </c>
      <c r="BG96" s="800" t="str">
        <f>AZ86</f>
        <v>-</v>
      </c>
      <c r="BH96" s="800" t="str">
        <f>BA86</f>
        <v>-</v>
      </c>
      <c r="BI96" s="1413"/>
      <c r="BJ96" s="1415"/>
    </row>
    <row r="97" spans="1:62" ht="12.75" customHeight="1" x14ac:dyDescent="0.2">
      <c r="A97" s="702">
        <v>0</v>
      </c>
      <c r="B97" s="668">
        <v>9.9999999999999995E-7</v>
      </c>
      <c r="C97" s="668" t="s">
        <v>291</v>
      </c>
      <c r="D97" s="668" t="s">
        <v>291</v>
      </c>
      <c r="E97" s="668">
        <v>9.9999999999999995E-7</v>
      </c>
      <c r="F97" s="668">
        <v>0.02</v>
      </c>
      <c r="G97" s="1534"/>
      <c r="H97" s="702">
        <v>0</v>
      </c>
      <c r="I97" s="668">
        <v>9.9999999999999995E-7</v>
      </c>
      <c r="J97" s="668" t="s">
        <v>291</v>
      </c>
      <c r="K97" s="668" t="s">
        <v>291</v>
      </c>
      <c r="L97" s="668">
        <v>9.9999999999999995E-7</v>
      </c>
      <c r="M97" s="668">
        <v>0.03</v>
      </c>
      <c r="V97" s="504">
        <v>0</v>
      </c>
      <c r="W97" s="504">
        <v>9.9999999999999995E-7</v>
      </c>
      <c r="X97" s="504">
        <v>9.9999999999999995E-7</v>
      </c>
      <c r="Y97" s="676" t="s">
        <v>291</v>
      </c>
      <c r="Z97" s="504">
        <v>9.9999999999999995E-7</v>
      </c>
      <c r="AA97" s="504">
        <v>0.02</v>
      </c>
      <c r="AB97" s="1539"/>
      <c r="AC97" s="504">
        <v>0</v>
      </c>
      <c r="AD97" s="504">
        <v>9.9999999999999995E-7</v>
      </c>
      <c r="AE97" s="504">
        <v>9.9999999999999995E-7</v>
      </c>
      <c r="AF97" s="676" t="s">
        <v>291</v>
      </c>
      <c r="AG97" s="504">
        <v>9.9999999999999995E-7</v>
      </c>
      <c r="AH97" s="504">
        <v>0.02</v>
      </c>
      <c r="AJ97" s="816">
        <v>0</v>
      </c>
      <c r="AK97" s="686">
        <v>9.9999999999999995E-7</v>
      </c>
      <c r="AL97" s="686">
        <v>9.9999999999999995E-7</v>
      </c>
      <c r="AM97" s="684" t="s">
        <v>291</v>
      </c>
      <c r="AN97" s="686">
        <v>9.9999999999999995E-7</v>
      </c>
      <c r="AO97" s="686">
        <v>0.05</v>
      </c>
      <c r="AP97" s="1459"/>
      <c r="AQ97" s="816">
        <v>0</v>
      </c>
      <c r="AR97" s="686">
        <v>9.9999999999999995E-7</v>
      </c>
      <c r="AS97" s="686">
        <v>9.9999999999999995E-7</v>
      </c>
      <c r="AT97" s="684" t="s">
        <v>291</v>
      </c>
      <c r="AU97" s="686">
        <v>9.9999999999999995E-7</v>
      </c>
      <c r="AV97" s="686">
        <v>0.05</v>
      </c>
      <c r="AX97" s="817">
        <v>0</v>
      </c>
      <c r="AY97" s="692" t="s">
        <v>291</v>
      </c>
      <c r="AZ97" s="692" t="s">
        <v>291</v>
      </c>
      <c r="BA97" s="692" t="s">
        <v>291</v>
      </c>
      <c r="BB97" s="691">
        <v>9.9999999999999995E-7</v>
      </c>
      <c r="BC97" s="692">
        <v>0</v>
      </c>
      <c r="BD97" s="1416"/>
      <c r="BE97" s="817">
        <v>0</v>
      </c>
      <c r="BF97" s="692" t="s">
        <v>291</v>
      </c>
      <c r="BG97" s="692" t="s">
        <v>291</v>
      </c>
      <c r="BH97" s="692" t="s">
        <v>291</v>
      </c>
      <c r="BI97" s="691">
        <v>9.9999999999999995E-7</v>
      </c>
      <c r="BJ97" s="692">
        <v>0</v>
      </c>
    </row>
    <row r="98" spans="1:62" ht="12.75" customHeight="1" x14ac:dyDescent="0.2">
      <c r="A98" s="702">
        <v>5</v>
      </c>
      <c r="B98" s="668">
        <v>-0.03</v>
      </c>
      <c r="C98" s="667" t="s">
        <v>291</v>
      </c>
      <c r="D98" s="667" t="s">
        <v>291</v>
      </c>
      <c r="E98" s="669">
        <f t="shared" ref="E98:E102" si="61">0.5*(MAX(B98:D98)-MIN(B98:D98))</f>
        <v>0</v>
      </c>
      <c r="F98" s="668">
        <v>0.02</v>
      </c>
      <c r="G98" s="1534"/>
      <c r="H98" s="702">
        <v>5</v>
      </c>
      <c r="I98" s="668">
        <v>0.03</v>
      </c>
      <c r="J98" s="667" t="s">
        <v>291</v>
      </c>
      <c r="K98" s="667" t="s">
        <v>291</v>
      </c>
      <c r="L98" s="669">
        <f t="shared" ref="L98:L102" si="62">0.5*(MAX(I98:K98)-MIN(I98:K98))</f>
        <v>0</v>
      </c>
      <c r="M98" s="668">
        <v>0.03</v>
      </c>
      <c r="V98" s="504">
        <v>5</v>
      </c>
      <c r="W98" s="504">
        <v>0.04</v>
      </c>
      <c r="X98" s="504">
        <v>-0.04</v>
      </c>
      <c r="Y98" s="676" t="s">
        <v>291</v>
      </c>
      <c r="Z98" s="503">
        <f t="shared" ref="Z98:Z102" si="63">0.5*(MAX(W98:Y98)-MIN(W98:Y98))</f>
        <v>0.04</v>
      </c>
      <c r="AA98" s="504">
        <v>0.02</v>
      </c>
      <c r="AB98" s="1539"/>
      <c r="AC98" s="504">
        <v>5</v>
      </c>
      <c r="AD98" s="504">
        <v>-0.05</v>
      </c>
      <c r="AE98" s="504">
        <v>-0.03</v>
      </c>
      <c r="AF98" s="676" t="s">
        <v>291</v>
      </c>
      <c r="AG98" s="503">
        <f t="shared" ref="AG98:AG102" si="64">0.5*(MAX(AD98:AF98)-MIN(AD98:AF98))</f>
        <v>1.0000000000000002E-2</v>
      </c>
      <c r="AH98" s="504">
        <v>0.02</v>
      </c>
      <c r="AJ98" s="816">
        <v>5</v>
      </c>
      <c r="AK98" s="686">
        <v>-0.05</v>
      </c>
      <c r="AL98" s="686">
        <v>-0.04</v>
      </c>
      <c r="AM98" s="684" t="s">
        <v>291</v>
      </c>
      <c r="AN98" s="685">
        <f t="shared" ref="AN98:AN102" si="65">0.5*(MAX(AK98:AL98)-MIN(AK98:AL98))</f>
        <v>5.000000000000001E-3</v>
      </c>
      <c r="AO98" s="686">
        <v>0.05</v>
      </c>
      <c r="AP98" s="1459"/>
      <c r="AQ98" s="816">
        <v>5</v>
      </c>
      <c r="AR98" s="686">
        <v>-0.02</v>
      </c>
      <c r="AS98" s="686">
        <v>0.01</v>
      </c>
      <c r="AT98" s="684" t="s">
        <v>291</v>
      </c>
      <c r="AU98" s="685">
        <f t="shared" ref="AU98:AU102" si="66">0.5*(MAX(AR98:AS98)-MIN(AR98:AS98))</f>
        <v>1.4999999999999999E-2</v>
      </c>
      <c r="AV98" s="686">
        <v>0.05</v>
      </c>
      <c r="AX98" s="817">
        <v>10</v>
      </c>
      <c r="AY98" s="690" t="s">
        <v>291</v>
      </c>
      <c r="AZ98" s="690" t="s">
        <v>291</v>
      </c>
      <c r="BA98" s="690" t="s">
        <v>291</v>
      </c>
      <c r="BB98" s="691">
        <f t="shared" ref="BB98:BB102" si="67">0.5*(MAX(AY98:AZ98)-MIN(AY98:AZ98))</f>
        <v>0</v>
      </c>
      <c r="BC98" s="692">
        <v>0</v>
      </c>
      <c r="BD98" s="1416"/>
      <c r="BE98" s="817">
        <v>10</v>
      </c>
      <c r="BF98" s="690" t="s">
        <v>291</v>
      </c>
      <c r="BG98" s="690" t="s">
        <v>291</v>
      </c>
      <c r="BH98" s="690" t="s">
        <v>291</v>
      </c>
      <c r="BI98" s="691">
        <f t="shared" ref="BI98:BI102" si="68">0.5*(MAX(BF98:BG98)-MIN(BF98:BG98))</f>
        <v>0</v>
      </c>
      <c r="BJ98" s="692">
        <v>0</v>
      </c>
    </row>
    <row r="99" spans="1:62" ht="12.75" customHeight="1" x14ac:dyDescent="0.2">
      <c r="A99" s="702">
        <v>10</v>
      </c>
      <c r="B99" s="668">
        <v>-0.04</v>
      </c>
      <c r="C99" s="667" t="s">
        <v>291</v>
      </c>
      <c r="D99" s="667" t="s">
        <v>291</v>
      </c>
      <c r="E99" s="669">
        <f t="shared" si="61"/>
        <v>0</v>
      </c>
      <c r="F99" s="668">
        <v>0.02</v>
      </c>
      <c r="G99" s="1534"/>
      <c r="H99" s="702">
        <v>15</v>
      </c>
      <c r="I99" s="668">
        <v>0.02</v>
      </c>
      <c r="J99" s="667" t="s">
        <v>291</v>
      </c>
      <c r="K99" s="667" t="s">
        <v>291</v>
      </c>
      <c r="L99" s="669">
        <f t="shared" si="62"/>
        <v>0</v>
      </c>
      <c r="M99" s="668">
        <v>0.03</v>
      </c>
      <c r="P99" s="555" t="s">
        <v>345</v>
      </c>
      <c r="V99" s="504">
        <v>10</v>
      </c>
      <c r="W99" s="504">
        <v>0.02</v>
      </c>
      <c r="X99" s="504">
        <v>-0.02</v>
      </c>
      <c r="Y99" s="676" t="s">
        <v>291</v>
      </c>
      <c r="Z99" s="503">
        <f t="shared" si="63"/>
        <v>0.02</v>
      </c>
      <c r="AA99" s="504">
        <v>0.02</v>
      </c>
      <c r="AB99" s="1539"/>
      <c r="AC99" s="504">
        <v>10</v>
      </c>
      <c r="AD99" s="504">
        <v>-0.08</v>
      </c>
      <c r="AE99" s="504">
        <v>-0.01</v>
      </c>
      <c r="AF99" s="676" t="s">
        <v>291</v>
      </c>
      <c r="AG99" s="503">
        <f t="shared" si="64"/>
        <v>3.5000000000000003E-2</v>
      </c>
      <c r="AH99" s="504">
        <v>0.02</v>
      </c>
      <c r="AJ99" s="816">
        <v>10</v>
      </c>
      <c r="AK99" s="686">
        <v>-0.06</v>
      </c>
      <c r="AL99" s="686">
        <v>-7.0000000000000007E-2</v>
      </c>
      <c r="AM99" s="684" t="s">
        <v>291</v>
      </c>
      <c r="AN99" s="685">
        <f t="shared" si="65"/>
        <v>5.0000000000000044E-3</v>
      </c>
      <c r="AO99" s="686">
        <v>0.05</v>
      </c>
      <c r="AP99" s="1459"/>
      <c r="AQ99" s="816">
        <v>10</v>
      </c>
      <c r="AR99" s="686">
        <v>-0.05</v>
      </c>
      <c r="AS99" s="686">
        <v>-0.04</v>
      </c>
      <c r="AT99" s="684" t="s">
        <v>291</v>
      </c>
      <c r="AU99" s="685">
        <f t="shared" si="66"/>
        <v>5.000000000000001E-3</v>
      </c>
      <c r="AV99" s="686">
        <v>0.05</v>
      </c>
      <c r="AX99" s="817">
        <v>20</v>
      </c>
      <c r="AY99" s="690" t="s">
        <v>291</v>
      </c>
      <c r="AZ99" s="690" t="s">
        <v>291</v>
      </c>
      <c r="BA99" s="690" t="s">
        <v>291</v>
      </c>
      <c r="BB99" s="691">
        <f t="shared" si="67"/>
        <v>0</v>
      </c>
      <c r="BC99" s="692">
        <v>0</v>
      </c>
      <c r="BD99" s="1416"/>
      <c r="BE99" s="817">
        <v>20</v>
      </c>
      <c r="BF99" s="690" t="s">
        <v>291</v>
      </c>
      <c r="BG99" s="690" t="s">
        <v>291</v>
      </c>
      <c r="BH99" s="690" t="s">
        <v>291</v>
      </c>
      <c r="BI99" s="691">
        <f t="shared" si="68"/>
        <v>0</v>
      </c>
      <c r="BJ99" s="692">
        <v>0</v>
      </c>
    </row>
    <row r="100" spans="1:62" ht="12.75" customHeight="1" x14ac:dyDescent="0.2">
      <c r="A100" s="702">
        <v>20</v>
      </c>
      <c r="B100" s="668">
        <v>-0.03</v>
      </c>
      <c r="C100" s="667" t="s">
        <v>291</v>
      </c>
      <c r="D100" s="667" t="s">
        <v>291</v>
      </c>
      <c r="E100" s="669">
        <f t="shared" si="61"/>
        <v>0</v>
      </c>
      <c r="F100" s="668">
        <v>0.02</v>
      </c>
      <c r="G100" s="1534"/>
      <c r="H100" s="702">
        <v>20</v>
      </c>
      <c r="I100" s="668">
        <v>0.02</v>
      </c>
      <c r="J100" s="667" t="s">
        <v>291</v>
      </c>
      <c r="K100" s="667" t="s">
        <v>291</v>
      </c>
      <c r="L100" s="669">
        <f t="shared" si="62"/>
        <v>0</v>
      </c>
      <c r="M100" s="668">
        <v>0.03</v>
      </c>
      <c r="V100" s="504">
        <v>15</v>
      </c>
      <c r="W100" s="504">
        <v>0.02</v>
      </c>
      <c r="X100" s="504">
        <v>-0.01</v>
      </c>
      <c r="Y100" s="676" t="s">
        <v>291</v>
      </c>
      <c r="Z100" s="503">
        <f t="shared" si="63"/>
        <v>1.4999999999999999E-2</v>
      </c>
      <c r="AA100" s="504">
        <v>0.02</v>
      </c>
      <c r="AB100" s="1539"/>
      <c r="AC100" s="504">
        <v>15</v>
      </c>
      <c r="AD100" s="504">
        <v>-7.0000000000000007E-2</v>
      </c>
      <c r="AE100" s="504">
        <v>-0.01</v>
      </c>
      <c r="AF100" s="676" t="s">
        <v>291</v>
      </c>
      <c r="AG100" s="503">
        <f t="shared" si="64"/>
        <v>3.0000000000000002E-2</v>
      </c>
      <c r="AH100" s="504">
        <v>0.02</v>
      </c>
      <c r="AJ100" s="816">
        <v>15</v>
      </c>
      <c r="AK100" s="686">
        <v>-0.08</v>
      </c>
      <c r="AL100" s="686">
        <v>-0.09</v>
      </c>
      <c r="AM100" s="684" t="s">
        <v>291</v>
      </c>
      <c r="AN100" s="685">
        <f t="shared" si="65"/>
        <v>4.9999999999999975E-3</v>
      </c>
      <c r="AO100" s="686">
        <v>0.05</v>
      </c>
      <c r="AP100" s="1459"/>
      <c r="AQ100" s="816">
        <v>15</v>
      </c>
      <c r="AR100" s="686">
        <v>-0.08</v>
      </c>
      <c r="AS100" s="686">
        <v>-0.06</v>
      </c>
      <c r="AT100" s="684" t="s">
        <v>291</v>
      </c>
      <c r="AU100" s="685">
        <f t="shared" si="66"/>
        <v>1.0000000000000002E-2</v>
      </c>
      <c r="AV100" s="686">
        <v>0.05</v>
      </c>
      <c r="AX100" s="817">
        <v>30</v>
      </c>
      <c r="AY100" s="690" t="s">
        <v>291</v>
      </c>
      <c r="AZ100" s="690" t="s">
        <v>291</v>
      </c>
      <c r="BA100" s="690" t="s">
        <v>291</v>
      </c>
      <c r="BB100" s="691">
        <f t="shared" si="67"/>
        <v>0</v>
      </c>
      <c r="BC100" s="692">
        <v>0</v>
      </c>
      <c r="BD100" s="1416"/>
      <c r="BE100" s="817">
        <v>30</v>
      </c>
      <c r="BF100" s="690" t="s">
        <v>291</v>
      </c>
      <c r="BG100" s="690" t="s">
        <v>291</v>
      </c>
      <c r="BH100" s="690" t="s">
        <v>291</v>
      </c>
      <c r="BI100" s="691">
        <f t="shared" si="68"/>
        <v>0</v>
      </c>
      <c r="BJ100" s="692">
        <v>0</v>
      </c>
    </row>
    <row r="101" spans="1:62" ht="13.5" customHeight="1" x14ac:dyDescent="0.2">
      <c r="A101" s="702">
        <v>25</v>
      </c>
      <c r="B101" s="668">
        <v>-0.03</v>
      </c>
      <c r="C101" s="667" t="s">
        <v>291</v>
      </c>
      <c r="D101" s="667" t="s">
        <v>291</v>
      </c>
      <c r="E101" s="669">
        <f t="shared" si="61"/>
        <v>0</v>
      </c>
      <c r="F101" s="668">
        <v>0.02</v>
      </c>
      <c r="G101" s="1534"/>
      <c r="H101" s="702">
        <v>25</v>
      </c>
      <c r="I101" s="668">
        <v>0.03</v>
      </c>
      <c r="J101" s="667" t="s">
        <v>291</v>
      </c>
      <c r="K101" s="667" t="s">
        <v>291</v>
      </c>
      <c r="L101" s="669">
        <f t="shared" si="62"/>
        <v>0</v>
      </c>
      <c r="M101" s="668">
        <v>0.03</v>
      </c>
      <c r="V101" s="504">
        <v>20</v>
      </c>
      <c r="W101" s="504">
        <v>0.04</v>
      </c>
      <c r="X101" s="504">
        <v>-0.01</v>
      </c>
      <c r="Y101" s="676" t="s">
        <v>291</v>
      </c>
      <c r="Z101" s="503">
        <f t="shared" si="63"/>
        <v>2.5000000000000001E-2</v>
      </c>
      <c r="AA101" s="504">
        <v>0.02</v>
      </c>
      <c r="AB101" s="1539"/>
      <c r="AC101" s="504">
        <v>20</v>
      </c>
      <c r="AD101" s="504">
        <v>-7.0000000000000007E-2</v>
      </c>
      <c r="AE101" s="504">
        <v>-0.01</v>
      </c>
      <c r="AF101" s="676" t="s">
        <v>291</v>
      </c>
      <c r="AG101" s="503">
        <f t="shared" si="64"/>
        <v>3.0000000000000002E-2</v>
      </c>
      <c r="AH101" s="504">
        <v>0.02</v>
      </c>
      <c r="AJ101" s="816">
        <v>20</v>
      </c>
      <c r="AK101" s="686">
        <v>-0.09</v>
      </c>
      <c r="AL101" s="686">
        <v>-0.1</v>
      </c>
      <c r="AM101" s="684" t="s">
        <v>291</v>
      </c>
      <c r="AN101" s="685">
        <f t="shared" si="65"/>
        <v>5.0000000000000044E-3</v>
      </c>
      <c r="AO101" s="686">
        <v>0.05</v>
      </c>
      <c r="AP101" s="1459"/>
      <c r="AQ101" s="816">
        <v>20</v>
      </c>
      <c r="AR101" s="686">
        <v>-0.09</v>
      </c>
      <c r="AS101" s="686">
        <v>-0.09</v>
      </c>
      <c r="AT101" s="684" t="s">
        <v>291</v>
      </c>
      <c r="AU101" s="685">
        <f t="shared" si="66"/>
        <v>0</v>
      </c>
      <c r="AV101" s="686">
        <v>0.05</v>
      </c>
      <c r="AX101" s="817">
        <v>40</v>
      </c>
      <c r="AY101" s="690" t="s">
        <v>291</v>
      </c>
      <c r="AZ101" s="690" t="s">
        <v>291</v>
      </c>
      <c r="BA101" s="690" t="s">
        <v>291</v>
      </c>
      <c r="BB101" s="691">
        <f t="shared" si="67"/>
        <v>0</v>
      </c>
      <c r="BC101" s="692">
        <v>0</v>
      </c>
      <c r="BD101" s="1416"/>
      <c r="BE101" s="817">
        <v>40</v>
      </c>
      <c r="BF101" s="690" t="s">
        <v>291</v>
      </c>
      <c r="BG101" s="690" t="s">
        <v>291</v>
      </c>
      <c r="BH101" s="690" t="s">
        <v>291</v>
      </c>
      <c r="BI101" s="691">
        <f t="shared" si="68"/>
        <v>0</v>
      </c>
      <c r="BJ101" s="692">
        <v>0</v>
      </c>
    </row>
    <row r="102" spans="1:62" x14ac:dyDescent="0.2">
      <c r="A102" s="702">
        <v>30</v>
      </c>
      <c r="B102" s="668">
        <v>-0.03</v>
      </c>
      <c r="C102" s="667" t="s">
        <v>291</v>
      </c>
      <c r="D102" s="667" t="s">
        <v>291</v>
      </c>
      <c r="E102" s="669">
        <f t="shared" si="61"/>
        <v>0</v>
      </c>
      <c r="F102" s="668">
        <v>0.02</v>
      </c>
      <c r="G102" s="1534"/>
      <c r="H102" s="702">
        <v>30</v>
      </c>
      <c r="I102" s="668">
        <v>0.03</v>
      </c>
      <c r="J102" s="667" t="s">
        <v>291</v>
      </c>
      <c r="K102" s="667" t="s">
        <v>291</v>
      </c>
      <c r="L102" s="669">
        <f t="shared" si="62"/>
        <v>0</v>
      </c>
      <c r="M102" s="668">
        <v>0.03</v>
      </c>
      <c r="V102" s="504">
        <v>30</v>
      </c>
      <c r="W102" s="504">
        <v>0.05</v>
      </c>
      <c r="X102" s="504">
        <v>-0.01</v>
      </c>
      <c r="Y102" s="676" t="s">
        <v>291</v>
      </c>
      <c r="Z102" s="503">
        <f t="shared" si="63"/>
        <v>3.0000000000000002E-2</v>
      </c>
      <c r="AA102" s="504">
        <v>0.02</v>
      </c>
      <c r="AB102" s="1539"/>
      <c r="AC102" s="504">
        <v>30</v>
      </c>
      <c r="AD102" s="504">
        <v>-7.0000000000000007E-2</v>
      </c>
      <c r="AE102" s="504">
        <v>-0.01</v>
      </c>
      <c r="AF102" s="676" t="s">
        <v>291</v>
      </c>
      <c r="AG102" s="503">
        <f t="shared" si="64"/>
        <v>3.0000000000000002E-2</v>
      </c>
      <c r="AH102" s="504">
        <v>0.02</v>
      </c>
      <c r="AJ102" s="816">
        <v>25</v>
      </c>
      <c r="AK102" s="686">
        <v>-0.1</v>
      </c>
      <c r="AL102" s="686">
        <v>-0.1</v>
      </c>
      <c r="AM102" s="684" t="s">
        <v>291</v>
      </c>
      <c r="AN102" s="685">
        <f t="shared" si="65"/>
        <v>0</v>
      </c>
      <c r="AO102" s="686">
        <v>0.05</v>
      </c>
      <c r="AP102" s="1460"/>
      <c r="AQ102" s="816">
        <v>25</v>
      </c>
      <c r="AR102" s="686">
        <v>-0.06</v>
      </c>
      <c r="AS102" s="686">
        <v>-0.12</v>
      </c>
      <c r="AT102" s="684" t="s">
        <v>291</v>
      </c>
      <c r="AU102" s="685">
        <f t="shared" si="66"/>
        <v>0.03</v>
      </c>
      <c r="AV102" s="686">
        <v>0.05</v>
      </c>
      <c r="AX102" s="817">
        <v>50</v>
      </c>
      <c r="AY102" s="690" t="s">
        <v>291</v>
      </c>
      <c r="AZ102" s="690" t="s">
        <v>291</v>
      </c>
      <c r="BA102" s="690" t="s">
        <v>291</v>
      </c>
      <c r="BB102" s="691">
        <f t="shared" si="67"/>
        <v>0</v>
      </c>
      <c r="BC102" s="692">
        <v>0</v>
      </c>
      <c r="BD102" s="1416"/>
      <c r="BE102" s="817">
        <v>50</v>
      </c>
      <c r="BF102" s="690" t="s">
        <v>291</v>
      </c>
      <c r="BG102" s="690" t="s">
        <v>291</v>
      </c>
      <c r="BH102" s="690" t="s">
        <v>291</v>
      </c>
      <c r="BI102" s="691">
        <f t="shared" si="68"/>
        <v>0</v>
      </c>
      <c r="BJ102" s="692">
        <v>0</v>
      </c>
    </row>
    <row r="103" spans="1:62" x14ac:dyDescent="0.2">
      <c r="A103" s="528"/>
      <c r="B103" s="529"/>
      <c r="C103" s="529"/>
      <c r="D103" s="529"/>
      <c r="E103" s="529"/>
      <c r="F103" s="529"/>
      <c r="G103" s="529"/>
      <c r="H103" s="529"/>
      <c r="I103" s="529"/>
      <c r="J103" s="529"/>
      <c r="K103" s="529"/>
      <c r="L103" s="529"/>
      <c r="M103" s="529"/>
      <c r="N103" s="529"/>
      <c r="O103" s="529"/>
      <c r="P103" s="529"/>
      <c r="Q103" s="529"/>
    </row>
    <row r="104" spans="1:62" ht="12.75" hidden="1" customHeight="1" x14ac:dyDescent="0.2">
      <c r="A104" s="1467" t="s">
        <v>413</v>
      </c>
      <c r="B104" s="1467"/>
      <c r="C104" s="1470" t="s">
        <v>414</v>
      </c>
      <c r="D104" s="1461" t="s">
        <v>415</v>
      </c>
      <c r="E104" s="1461"/>
      <c r="F104" s="1461"/>
      <c r="G104" s="831" t="s">
        <v>287</v>
      </c>
      <c r="H104" s="1470" t="s">
        <v>393</v>
      </c>
      <c r="I104" s="1468" t="s">
        <v>416</v>
      </c>
      <c r="K104" s="1467" t="str">
        <f>A104</f>
        <v>No Urut Titik Ukur</v>
      </c>
      <c r="L104" s="1467"/>
      <c r="M104" s="1470" t="s">
        <v>414</v>
      </c>
      <c r="N104" s="1461" t="s">
        <v>415</v>
      </c>
      <c r="O104" s="1461"/>
      <c r="P104" s="1461"/>
      <c r="Q104" s="831" t="s">
        <v>287</v>
      </c>
      <c r="R104" s="1470" t="s">
        <v>393</v>
      </c>
      <c r="S104" s="1468" t="s">
        <v>416</v>
      </c>
    </row>
    <row r="105" spans="1:62" ht="12.75" hidden="1" customHeight="1" x14ac:dyDescent="0.2">
      <c r="A105" s="1467"/>
      <c r="B105" s="1467"/>
      <c r="C105" s="1470"/>
      <c r="D105" s="1461"/>
      <c r="E105" s="1461"/>
      <c r="F105" s="1461"/>
      <c r="G105" s="831"/>
      <c r="H105" s="1470"/>
      <c r="I105" s="1468"/>
      <c r="K105" s="1467"/>
      <c r="L105" s="1467"/>
      <c r="M105" s="1470"/>
      <c r="N105" s="1461"/>
      <c r="O105" s="1461"/>
      <c r="P105" s="1461"/>
      <c r="Q105" s="831"/>
      <c r="R105" s="1470"/>
      <c r="S105" s="1468"/>
    </row>
    <row r="106" spans="1:62" ht="15" hidden="1" x14ac:dyDescent="0.2">
      <c r="A106" s="1467"/>
      <c r="B106" s="1467"/>
      <c r="C106" s="767" t="s">
        <v>417</v>
      </c>
      <c r="D106" s="831" t="s">
        <v>418</v>
      </c>
      <c r="E106" s="831" t="s">
        <v>419</v>
      </c>
      <c r="F106" s="570" t="s">
        <v>420</v>
      </c>
      <c r="G106" s="831"/>
      <c r="H106" s="1470"/>
      <c r="I106" s="1468"/>
      <c r="K106" s="1467"/>
      <c r="L106" s="1467"/>
      <c r="M106" s="767" t="s">
        <v>417</v>
      </c>
      <c r="N106" s="831" t="s">
        <v>418</v>
      </c>
      <c r="O106" s="831" t="s">
        <v>419</v>
      </c>
      <c r="P106" s="570" t="s">
        <v>420</v>
      </c>
      <c r="Q106" s="831"/>
      <c r="R106" s="1470"/>
      <c r="S106" s="1468"/>
    </row>
    <row r="107" spans="1:62" hidden="1" x14ac:dyDescent="0.2">
      <c r="A107" s="1485" t="s">
        <v>51</v>
      </c>
      <c r="B107" s="832">
        <v>1</v>
      </c>
      <c r="C107" s="704">
        <f>A$6</f>
        <v>9.9999999999999995E-7</v>
      </c>
      <c r="D107" s="704">
        <f t="shared" ref="D107:F107" si="69">B$6</f>
        <v>9.9999999999999995E-7</v>
      </c>
      <c r="E107" s="704">
        <f t="shared" si="69"/>
        <v>9.9999999999999995E-7</v>
      </c>
      <c r="F107" s="704" t="str">
        <f t="shared" si="69"/>
        <v>-</v>
      </c>
      <c r="G107" s="704">
        <f>E$6</f>
        <v>9.9999999999999995E-7</v>
      </c>
      <c r="H107" s="704">
        <f>F$6</f>
        <v>0.19</v>
      </c>
      <c r="I107" s="1466">
        <v>1</v>
      </c>
      <c r="K107" s="1467" t="s">
        <v>56</v>
      </c>
      <c r="L107" s="832">
        <v>1</v>
      </c>
      <c r="M107" s="704">
        <f t="shared" ref="M107:R107" si="70">A$11</f>
        <v>200</v>
      </c>
      <c r="N107" s="704">
        <f t="shared" si="70"/>
        <v>0.04</v>
      </c>
      <c r="O107" s="704">
        <f t="shared" si="70"/>
        <v>-7.0000000000000007E-2</v>
      </c>
      <c r="P107" s="704" t="str">
        <f t="shared" si="70"/>
        <v>-</v>
      </c>
      <c r="Q107" s="704">
        <f t="shared" si="70"/>
        <v>5.5000000000000007E-2</v>
      </c>
      <c r="R107" s="704">
        <f t="shared" si="70"/>
        <v>0.19</v>
      </c>
      <c r="S107" s="1466">
        <v>1</v>
      </c>
    </row>
    <row r="108" spans="1:62" hidden="1" x14ac:dyDescent="0.2">
      <c r="A108" s="1485"/>
      <c r="B108" s="832">
        <v>2</v>
      </c>
      <c r="C108" s="704">
        <f>A$20</f>
        <v>0</v>
      </c>
      <c r="D108" s="704">
        <f t="shared" ref="D108:F108" si="71">B$20</f>
        <v>9.9999999999999995E-7</v>
      </c>
      <c r="E108" s="704">
        <f t="shared" si="71"/>
        <v>9.9999999999999995E-7</v>
      </c>
      <c r="F108" s="704" t="str">
        <f t="shared" si="71"/>
        <v>-</v>
      </c>
      <c r="G108" s="704">
        <f>E$20</f>
        <v>9.9999999999999995E-7</v>
      </c>
      <c r="H108" s="704">
        <f>F$20</f>
        <v>0.41</v>
      </c>
      <c r="I108" s="1466"/>
      <c r="K108" s="1467"/>
      <c r="L108" s="832">
        <v>2</v>
      </c>
      <c r="M108" s="704">
        <f t="shared" ref="M108:R108" si="72">A$25</f>
        <v>200</v>
      </c>
      <c r="N108" s="704">
        <f t="shared" si="72"/>
        <v>0.08</v>
      </c>
      <c r="O108" s="704">
        <f t="shared" si="72"/>
        <v>7.0000000000000007E-2</v>
      </c>
      <c r="P108" s="704" t="str">
        <f t="shared" si="72"/>
        <v>-</v>
      </c>
      <c r="Q108" s="704">
        <f t="shared" si="72"/>
        <v>4.9999999999999975E-3</v>
      </c>
      <c r="R108" s="704">
        <f t="shared" si="72"/>
        <v>0.41</v>
      </c>
      <c r="S108" s="1466"/>
    </row>
    <row r="109" spans="1:62" hidden="1" x14ac:dyDescent="0.2">
      <c r="A109" s="1485"/>
      <c r="B109" s="832">
        <v>3</v>
      </c>
      <c r="C109" s="704">
        <f t="shared" ref="C109:H109" si="73">H$6</f>
        <v>0</v>
      </c>
      <c r="D109" s="704">
        <f t="shared" si="73"/>
        <v>9.9999999999999995E-7</v>
      </c>
      <c r="E109" s="704">
        <f t="shared" si="73"/>
        <v>9.9999999999999995E-7</v>
      </c>
      <c r="F109" s="704" t="str">
        <f t="shared" si="73"/>
        <v>-</v>
      </c>
      <c r="G109" s="704">
        <f t="shared" si="73"/>
        <v>9.9999999999999995E-7</v>
      </c>
      <c r="H109" s="704">
        <f t="shared" si="73"/>
        <v>0.32</v>
      </c>
      <c r="I109" s="1466"/>
      <c r="K109" s="1467"/>
      <c r="L109" s="832">
        <v>3</v>
      </c>
      <c r="M109" s="704">
        <f t="shared" ref="M109:R109" si="74">H$11</f>
        <v>200</v>
      </c>
      <c r="N109" s="704">
        <f t="shared" si="74"/>
        <v>0.05</v>
      </c>
      <c r="O109" s="704">
        <f t="shared" si="74"/>
        <v>0.03</v>
      </c>
      <c r="P109" s="704" t="str">
        <f t="shared" si="74"/>
        <v>-</v>
      </c>
      <c r="Q109" s="704">
        <f t="shared" si="74"/>
        <v>1.0000000000000002E-2</v>
      </c>
      <c r="R109" s="704">
        <f t="shared" si="74"/>
        <v>0.32</v>
      </c>
      <c r="S109" s="1466"/>
    </row>
    <row r="110" spans="1:62" hidden="1" x14ac:dyDescent="0.2">
      <c r="A110" s="1485"/>
      <c r="B110" s="832">
        <v>4</v>
      </c>
      <c r="C110" s="704">
        <f t="shared" ref="C110:H110" si="75">H$20</f>
        <v>0</v>
      </c>
      <c r="D110" s="704">
        <f t="shared" si="75"/>
        <v>9.9999999999999995E-7</v>
      </c>
      <c r="E110" s="704">
        <f t="shared" si="75"/>
        <v>9.9999999999999995E-7</v>
      </c>
      <c r="F110" s="704" t="str">
        <f t="shared" si="75"/>
        <v>-</v>
      </c>
      <c r="G110" s="704">
        <f t="shared" si="75"/>
        <v>9.9999999999999995E-7</v>
      </c>
      <c r="H110" s="704">
        <f t="shared" si="75"/>
        <v>0.28999999999999998</v>
      </c>
      <c r="I110" s="1466"/>
      <c r="K110" s="1467"/>
      <c r="L110" s="832">
        <v>4</v>
      </c>
      <c r="M110" s="704">
        <f t="shared" ref="M110:R110" si="76">H$25</f>
        <v>200</v>
      </c>
      <c r="N110" s="704">
        <f t="shared" si="76"/>
        <v>0.01</v>
      </c>
      <c r="O110" s="704">
        <f t="shared" si="76"/>
        <v>0.01</v>
      </c>
      <c r="P110" s="704" t="str">
        <f t="shared" si="76"/>
        <v>-</v>
      </c>
      <c r="Q110" s="704">
        <f t="shared" si="76"/>
        <v>0</v>
      </c>
      <c r="R110" s="704">
        <f t="shared" si="76"/>
        <v>0.28999999999999998</v>
      </c>
      <c r="S110" s="1466"/>
    </row>
    <row r="111" spans="1:62" hidden="1" x14ac:dyDescent="0.2">
      <c r="A111" s="1485"/>
      <c r="B111" s="832">
        <v>5</v>
      </c>
      <c r="C111" s="704">
        <f t="shared" ref="C111:H111" si="77">O$6</f>
        <v>0</v>
      </c>
      <c r="D111" s="704">
        <f t="shared" si="77"/>
        <v>9.9999999999999995E-7</v>
      </c>
      <c r="E111" s="704">
        <f t="shared" si="77"/>
        <v>9.9999999999999995E-7</v>
      </c>
      <c r="F111" s="704">
        <f t="shared" si="77"/>
        <v>9.9999999999999995E-7</v>
      </c>
      <c r="G111" s="704">
        <f t="shared" si="77"/>
        <v>9.9999999999999995E-7</v>
      </c>
      <c r="H111" s="704">
        <f t="shared" si="77"/>
        <v>0.71</v>
      </c>
      <c r="I111" s="702">
        <v>2</v>
      </c>
      <c r="K111" s="1467"/>
      <c r="L111" s="832">
        <v>5</v>
      </c>
      <c r="M111" s="704">
        <f t="shared" ref="M111:R111" si="78">O$11</f>
        <v>200</v>
      </c>
      <c r="N111" s="704">
        <f t="shared" si="78"/>
        <v>-0.31999999999999318</v>
      </c>
      <c r="O111" s="704">
        <f t="shared" si="78"/>
        <v>9.9999999999999995E-7</v>
      </c>
      <c r="P111" s="704">
        <f t="shared" si="78"/>
        <v>0.17</v>
      </c>
      <c r="Q111" s="704">
        <f t="shared" si="78"/>
        <v>0.24499999999999661</v>
      </c>
      <c r="R111" s="704">
        <f t="shared" si="78"/>
        <v>0.71</v>
      </c>
      <c r="S111" s="702">
        <v>2</v>
      </c>
    </row>
    <row r="112" spans="1:62" hidden="1" x14ac:dyDescent="0.2">
      <c r="A112" s="1485"/>
      <c r="B112" s="832">
        <v>6</v>
      </c>
      <c r="C112" s="704">
        <f t="shared" ref="C112:H112" si="79">V$6</f>
        <v>9.9999999999999995E-7</v>
      </c>
      <c r="D112" s="704">
        <f t="shared" si="79"/>
        <v>9.9999999999999995E-7</v>
      </c>
      <c r="E112" s="704">
        <f t="shared" si="79"/>
        <v>9.9999999999999995E-7</v>
      </c>
      <c r="F112" s="704">
        <f t="shared" si="79"/>
        <v>9.9999999999999995E-7</v>
      </c>
      <c r="G112" s="704">
        <f t="shared" si="79"/>
        <v>9.9999999999999995E-7</v>
      </c>
      <c r="H112" s="704">
        <f t="shared" si="79"/>
        <v>0.11</v>
      </c>
      <c r="I112" s="1466">
        <v>3</v>
      </c>
      <c r="K112" s="1467"/>
      <c r="L112" s="832">
        <v>6</v>
      </c>
      <c r="M112" s="704">
        <f t="shared" ref="M112:R112" si="80">V$11</f>
        <v>200</v>
      </c>
      <c r="N112" s="704">
        <f t="shared" si="80"/>
        <v>2.0000000000010232E-2</v>
      </c>
      <c r="O112" s="704">
        <f t="shared" si="80"/>
        <v>-0.14000000000000001</v>
      </c>
      <c r="P112" s="704">
        <f t="shared" si="80"/>
        <v>0.34</v>
      </c>
      <c r="Q112" s="704">
        <f t="shared" si="80"/>
        <v>0.24000000000000002</v>
      </c>
      <c r="R112" s="704">
        <f t="shared" si="80"/>
        <v>0.11</v>
      </c>
      <c r="S112" s="1466">
        <v>3</v>
      </c>
    </row>
    <row r="113" spans="1:19" hidden="1" x14ac:dyDescent="0.2">
      <c r="A113" s="1485"/>
      <c r="B113" s="832">
        <v>7</v>
      </c>
      <c r="C113" s="704">
        <f t="shared" ref="C113:H113" si="81">V$20</f>
        <v>9.9999999999999995E-7</v>
      </c>
      <c r="D113" s="704">
        <f t="shared" si="81"/>
        <v>9.9999999999999995E-7</v>
      </c>
      <c r="E113" s="704">
        <f t="shared" si="81"/>
        <v>9.9999999999999995E-7</v>
      </c>
      <c r="F113" s="704">
        <f t="shared" si="81"/>
        <v>9.9999999999999995E-7</v>
      </c>
      <c r="G113" s="704">
        <f t="shared" si="81"/>
        <v>9.9999999999999995E-7</v>
      </c>
      <c r="H113" s="704">
        <f t="shared" si="81"/>
        <v>0.33</v>
      </c>
      <c r="I113" s="1466"/>
      <c r="K113" s="1467"/>
      <c r="L113" s="832">
        <v>7</v>
      </c>
      <c r="M113" s="704">
        <f t="shared" ref="M113:R113" si="82">V$25</f>
        <v>200</v>
      </c>
      <c r="N113" s="704">
        <f t="shared" si="82"/>
        <v>6.9999999999993179E-2</v>
      </c>
      <c r="O113" s="704">
        <f t="shared" si="82"/>
        <v>0.01</v>
      </c>
      <c r="P113" s="704">
        <f t="shared" si="82"/>
        <v>0.28999999999999998</v>
      </c>
      <c r="Q113" s="704">
        <f t="shared" si="82"/>
        <v>0.13999999999999999</v>
      </c>
      <c r="R113" s="704">
        <f t="shared" si="82"/>
        <v>0.33</v>
      </c>
      <c r="S113" s="1466"/>
    </row>
    <row r="114" spans="1:19" hidden="1" x14ac:dyDescent="0.2">
      <c r="A114" s="1485"/>
      <c r="B114" s="832">
        <v>8</v>
      </c>
      <c r="C114" s="704">
        <f t="shared" ref="C114:H114" si="83">AC$6</f>
        <v>9.9999999999999995E-7</v>
      </c>
      <c r="D114" s="704">
        <f t="shared" si="83"/>
        <v>9.9999999999999995E-7</v>
      </c>
      <c r="E114" s="704">
        <f t="shared" si="83"/>
        <v>9.9999999999999995E-7</v>
      </c>
      <c r="F114" s="704">
        <f t="shared" si="83"/>
        <v>9.9999999999999995E-7</v>
      </c>
      <c r="G114" s="704">
        <f t="shared" si="83"/>
        <v>9.9999999999999995E-7</v>
      </c>
      <c r="H114" s="704">
        <f t="shared" si="83"/>
        <v>0.3</v>
      </c>
      <c r="I114" s="1466"/>
      <c r="K114" s="1467"/>
      <c r="L114" s="832">
        <v>8</v>
      </c>
      <c r="M114" s="704">
        <f t="shared" ref="M114:R114" si="84">AC$11</f>
        <v>200</v>
      </c>
      <c r="N114" s="704">
        <f t="shared" si="84"/>
        <v>6.0000000000002274E-2</v>
      </c>
      <c r="O114" s="704">
        <f t="shared" si="84"/>
        <v>0.01</v>
      </c>
      <c r="P114" s="704">
        <f t="shared" si="84"/>
        <v>0.3</v>
      </c>
      <c r="Q114" s="704">
        <f t="shared" si="84"/>
        <v>0.14499999999999999</v>
      </c>
      <c r="R114" s="704">
        <f t="shared" si="84"/>
        <v>0.3</v>
      </c>
      <c r="S114" s="1466"/>
    </row>
    <row r="115" spans="1:19" hidden="1" x14ac:dyDescent="0.2">
      <c r="A115" s="1485"/>
      <c r="B115" s="832">
        <v>9</v>
      </c>
      <c r="C115" s="704">
        <f t="shared" ref="C115:H115" si="85">AC$20</f>
        <v>9.9999999999999995E-7</v>
      </c>
      <c r="D115" s="704">
        <f t="shared" si="85"/>
        <v>9.9999999999999995E-7</v>
      </c>
      <c r="E115" s="704">
        <f t="shared" si="85"/>
        <v>9.9999999999999995E-7</v>
      </c>
      <c r="F115" s="704">
        <f t="shared" si="85"/>
        <v>9.9999999999999995E-7</v>
      </c>
      <c r="G115" s="704">
        <f t="shared" si="85"/>
        <v>9.9999999999999995E-7</v>
      </c>
      <c r="H115" s="704">
        <f t="shared" si="85"/>
        <v>0.14000000000000001</v>
      </c>
      <c r="I115" s="1466"/>
      <c r="K115" s="1467"/>
      <c r="L115" s="832">
        <v>9</v>
      </c>
      <c r="M115" s="704">
        <f t="shared" ref="M115:R115" si="86">AC$25</f>
        <v>200</v>
      </c>
      <c r="N115" s="704">
        <f t="shared" si="86"/>
        <v>9.9999999999909051E-3</v>
      </c>
      <c r="O115" s="704">
        <f t="shared" si="86"/>
        <v>0.01</v>
      </c>
      <c r="P115" s="704">
        <f t="shared" si="86"/>
        <v>0.34</v>
      </c>
      <c r="Q115" s="704">
        <f t="shared" si="86"/>
        <v>0.16500000000000456</v>
      </c>
      <c r="R115" s="704">
        <f t="shared" si="86"/>
        <v>0.14000000000000001</v>
      </c>
      <c r="S115" s="1466"/>
    </row>
    <row r="116" spans="1:19" hidden="1" x14ac:dyDescent="0.2">
      <c r="A116" s="1485"/>
      <c r="B116" s="832">
        <v>10</v>
      </c>
      <c r="C116" s="704">
        <f>A$57</f>
        <v>0</v>
      </c>
      <c r="D116" s="704">
        <f t="shared" ref="D116:F116" si="87">B$57</f>
        <v>9.9999999999999995E-7</v>
      </c>
      <c r="E116" s="704" t="str">
        <f t="shared" si="87"/>
        <v>-</v>
      </c>
      <c r="F116" s="704" t="str">
        <f t="shared" si="87"/>
        <v>-</v>
      </c>
      <c r="G116" s="704">
        <f>E$57</f>
        <v>9.9999999999999995E-7</v>
      </c>
      <c r="H116" s="704">
        <f>F$57</f>
        <v>0.32</v>
      </c>
      <c r="I116" s="1466">
        <v>4</v>
      </c>
      <c r="K116" s="1467"/>
      <c r="L116" s="832">
        <v>10</v>
      </c>
      <c r="M116" s="704">
        <f t="shared" ref="M116:R116" si="88">A$62</f>
        <v>200</v>
      </c>
      <c r="N116" s="704">
        <f t="shared" si="88"/>
        <v>-0.08</v>
      </c>
      <c r="O116" s="704" t="str">
        <f t="shared" si="88"/>
        <v>-</v>
      </c>
      <c r="P116" s="704" t="str">
        <f t="shared" si="88"/>
        <v>-</v>
      </c>
      <c r="Q116" s="704">
        <f t="shared" si="88"/>
        <v>0</v>
      </c>
      <c r="R116" s="704">
        <f t="shared" si="88"/>
        <v>0.32</v>
      </c>
      <c r="S116" s="1466">
        <v>4</v>
      </c>
    </row>
    <row r="117" spans="1:19" hidden="1" x14ac:dyDescent="0.2">
      <c r="A117" s="1485"/>
      <c r="B117" s="832">
        <v>11</v>
      </c>
      <c r="C117" s="704">
        <f>A$71</f>
        <v>0</v>
      </c>
      <c r="D117" s="704">
        <f t="shared" ref="D117:F117" si="89">B$71</f>
        <v>9.9999999999999995E-7</v>
      </c>
      <c r="E117" s="704" t="str">
        <f t="shared" si="89"/>
        <v>-</v>
      </c>
      <c r="F117" s="704" t="str">
        <f t="shared" si="89"/>
        <v>-</v>
      </c>
      <c r="G117" s="704">
        <f>E$71</f>
        <v>9.9999999999999995E-7</v>
      </c>
      <c r="H117" s="704">
        <f>F$71</f>
        <v>0.23</v>
      </c>
      <c r="I117" s="1466"/>
      <c r="K117" s="1467"/>
      <c r="L117" s="832">
        <v>11</v>
      </c>
      <c r="M117" s="704">
        <f t="shared" ref="M117:R117" si="90">A$76</f>
        <v>200</v>
      </c>
      <c r="N117" s="704">
        <f t="shared" si="90"/>
        <v>0.06</v>
      </c>
      <c r="O117" s="704" t="str">
        <f t="shared" si="90"/>
        <v>-</v>
      </c>
      <c r="P117" s="704" t="str">
        <f t="shared" si="90"/>
        <v>-</v>
      </c>
      <c r="Q117" s="704">
        <f t="shared" si="90"/>
        <v>0</v>
      </c>
      <c r="R117" s="704">
        <f t="shared" si="90"/>
        <v>0.23</v>
      </c>
      <c r="S117" s="1466"/>
    </row>
    <row r="118" spans="1:19" hidden="1" x14ac:dyDescent="0.2">
      <c r="A118" s="1485"/>
      <c r="B118" s="832">
        <v>12</v>
      </c>
      <c r="C118" s="704">
        <f t="shared" ref="C118:H118" si="91">H$57</f>
        <v>0</v>
      </c>
      <c r="D118" s="704">
        <f t="shared" si="91"/>
        <v>9.9999999999999995E-7</v>
      </c>
      <c r="E118" s="704" t="str">
        <f t="shared" si="91"/>
        <v>-</v>
      </c>
      <c r="F118" s="704" t="str">
        <f t="shared" si="91"/>
        <v>-</v>
      </c>
      <c r="G118" s="704">
        <f t="shared" si="91"/>
        <v>9.9999999999999995E-7</v>
      </c>
      <c r="H118" s="704">
        <f t="shared" si="91"/>
        <v>0.48</v>
      </c>
      <c r="I118" s="1466"/>
      <c r="K118" s="1467"/>
      <c r="L118" s="832">
        <v>12</v>
      </c>
      <c r="M118" s="704">
        <f t="shared" ref="M118:R118" si="92">H$62</f>
        <v>200</v>
      </c>
      <c r="N118" s="704">
        <f t="shared" si="92"/>
        <v>-0.03</v>
      </c>
      <c r="O118" s="704" t="str">
        <f t="shared" si="92"/>
        <v>-</v>
      </c>
      <c r="P118" s="704" t="str">
        <f t="shared" si="92"/>
        <v>-</v>
      </c>
      <c r="Q118" s="704">
        <f t="shared" si="92"/>
        <v>0</v>
      </c>
      <c r="R118" s="704">
        <f t="shared" si="92"/>
        <v>0.48</v>
      </c>
      <c r="S118" s="1466"/>
    </row>
    <row r="119" spans="1:19" hidden="1" x14ac:dyDescent="0.2">
      <c r="A119" s="1485"/>
      <c r="B119" s="832">
        <v>13</v>
      </c>
      <c r="C119" s="704">
        <f t="shared" ref="C119:H119" si="93">H$71</f>
        <v>0</v>
      </c>
      <c r="D119" s="704">
        <f t="shared" si="93"/>
        <v>9.9999999999999995E-7</v>
      </c>
      <c r="E119" s="704" t="str">
        <f t="shared" si="93"/>
        <v>-</v>
      </c>
      <c r="F119" s="704" t="str">
        <f t="shared" si="93"/>
        <v>-</v>
      </c>
      <c r="G119" s="704">
        <f t="shared" si="93"/>
        <v>9.9999999999999995E-7</v>
      </c>
      <c r="H119" s="704">
        <f t="shared" si="93"/>
        <v>0.43</v>
      </c>
      <c r="I119" s="1466"/>
      <c r="K119" s="1467"/>
      <c r="L119" s="832">
        <v>13</v>
      </c>
      <c r="M119" s="704">
        <f t="shared" ref="M119:R119" si="94">H$76</f>
        <v>200</v>
      </c>
      <c r="N119" s="704">
        <f t="shared" si="94"/>
        <v>0.04</v>
      </c>
      <c r="O119" s="704" t="str">
        <f t="shared" si="94"/>
        <v>-</v>
      </c>
      <c r="P119" s="704" t="str">
        <f t="shared" si="94"/>
        <v>-</v>
      </c>
      <c r="Q119" s="704">
        <f t="shared" si="94"/>
        <v>0</v>
      </c>
      <c r="R119" s="704">
        <f t="shared" si="94"/>
        <v>0.43</v>
      </c>
      <c r="S119" s="1466"/>
    </row>
    <row r="120" spans="1:19" hidden="1" x14ac:dyDescent="0.2">
      <c r="A120" s="1485"/>
      <c r="B120" s="832">
        <v>14</v>
      </c>
      <c r="C120" s="704">
        <f t="shared" ref="C120:H120" si="95">O$57</f>
        <v>0</v>
      </c>
      <c r="D120" s="704" t="str">
        <f t="shared" si="95"/>
        <v>-</v>
      </c>
      <c r="E120" s="704" t="str">
        <f t="shared" si="95"/>
        <v>-</v>
      </c>
      <c r="F120" s="704" t="str">
        <f t="shared" si="95"/>
        <v>-</v>
      </c>
      <c r="G120" s="704">
        <f t="shared" si="95"/>
        <v>9.9999999999999995E-7</v>
      </c>
      <c r="H120" s="704">
        <f t="shared" si="95"/>
        <v>0.02</v>
      </c>
      <c r="I120" s="702">
        <v>5</v>
      </c>
      <c r="K120" s="1467"/>
      <c r="L120" s="832">
        <v>14</v>
      </c>
      <c r="M120" s="704">
        <f t="shared" ref="M120:R120" si="96">O$62</f>
        <v>0</v>
      </c>
      <c r="N120" s="704" t="str">
        <f t="shared" si="96"/>
        <v>-</v>
      </c>
      <c r="O120" s="704" t="str">
        <f t="shared" si="96"/>
        <v>-</v>
      </c>
      <c r="P120" s="704" t="str">
        <f t="shared" si="96"/>
        <v>-</v>
      </c>
      <c r="Q120" s="704">
        <f t="shared" si="96"/>
        <v>0</v>
      </c>
      <c r="R120" s="704">
        <f t="shared" si="96"/>
        <v>0.02</v>
      </c>
      <c r="S120" s="702">
        <v>5</v>
      </c>
    </row>
    <row r="121" spans="1:19" hidden="1" x14ac:dyDescent="0.2">
      <c r="A121" s="1485"/>
      <c r="B121" s="832">
        <v>15</v>
      </c>
      <c r="C121" s="704">
        <f t="shared" ref="C121:H121" si="97">V$57</f>
        <v>0</v>
      </c>
      <c r="D121" s="704">
        <f t="shared" si="97"/>
        <v>9.9999999999999995E-7</v>
      </c>
      <c r="E121" s="704">
        <f t="shared" si="97"/>
        <v>9.9999999999999995E-7</v>
      </c>
      <c r="F121" s="704" t="str">
        <f t="shared" si="97"/>
        <v>-</v>
      </c>
      <c r="G121" s="704">
        <f t="shared" si="97"/>
        <v>9.9999999999999995E-7</v>
      </c>
      <c r="H121" s="704">
        <f t="shared" si="97"/>
        <v>0.1</v>
      </c>
      <c r="I121" s="1466">
        <v>6</v>
      </c>
      <c r="K121" s="1467"/>
      <c r="L121" s="832">
        <v>15</v>
      </c>
      <c r="M121" s="704">
        <f t="shared" ref="M121:R121" si="98">V$62</f>
        <v>200</v>
      </c>
      <c r="N121" s="704">
        <f t="shared" si="98"/>
        <v>0.09</v>
      </c>
      <c r="O121" s="704">
        <f t="shared" si="98"/>
        <v>-0.12</v>
      </c>
      <c r="P121" s="704" t="str">
        <f t="shared" si="98"/>
        <v>-</v>
      </c>
      <c r="Q121" s="704">
        <f t="shared" si="98"/>
        <v>0.105</v>
      </c>
      <c r="R121" s="704">
        <f t="shared" si="98"/>
        <v>0.1</v>
      </c>
      <c r="S121" s="1466">
        <v>6</v>
      </c>
    </row>
    <row r="122" spans="1:19" hidden="1" x14ac:dyDescent="0.2">
      <c r="A122" s="1485"/>
      <c r="B122" s="832">
        <v>16</v>
      </c>
      <c r="C122" s="704">
        <f t="shared" ref="C122:H122" si="99">V$71</f>
        <v>0</v>
      </c>
      <c r="D122" s="704">
        <f t="shared" si="99"/>
        <v>9.9999999999999995E-7</v>
      </c>
      <c r="E122" s="704">
        <f t="shared" si="99"/>
        <v>9.9999999999999995E-7</v>
      </c>
      <c r="F122" s="704" t="str">
        <f t="shared" si="99"/>
        <v>-</v>
      </c>
      <c r="G122" s="704">
        <f t="shared" si="99"/>
        <v>9.9999999999999995E-7</v>
      </c>
      <c r="H122" s="704">
        <f t="shared" si="99"/>
        <v>0.21</v>
      </c>
      <c r="I122" s="1466"/>
      <c r="K122" s="1467"/>
      <c r="L122" s="832">
        <v>16</v>
      </c>
      <c r="M122" s="704">
        <f t="shared" ref="M122:R122" si="100">V$76</f>
        <v>200</v>
      </c>
      <c r="N122" s="704">
        <f t="shared" si="100"/>
        <v>0.08</v>
      </c>
      <c r="O122" s="704">
        <f t="shared" si="100"/>
        <v>0.03</v>
      </c>
      <c r="P122" s="704" t="str">
        <f t="shared" si="100"/>
        <v>-</v>
      </c>
      <c r="Q122" s="704">
        <f t="shared" si="100"/>
        <v>2.5000000000000001E-2</v>
      </c>
      <c r="R122" s="704">
        <f t="shared" si="100"/>
        <v>0.21</v>
      </c>
      <c r="S122" s="1466"/>
    </row>
    <row r="123" spans="1:19" hidden="1" x14ac:dyDescent="0.2">
      <c r="A123" s="1485"/>
      <c r="B123" s="832">
        <v>17</v>
      </c>
      <c r="C123" s="704">
        <f t="shared" ref="C123:H123" si="101">AC$57</f>
        <v>0</v>
      </c>
      <c r="D123" s="704">
        <f t="shared" si="101"/>
        <v>9.9999999999999995E-7</v>
      </c>
      <c r="E123" s="704">
        <f t="shared" si="101"/>
        <v>9.9999999999999995E-7</v>
      </c>
      <c r="F123" s="704" t="str">
        <f t="shared" si="101"/>
        <v>-</v>
      </c>
      <c r="G123" s="704">
        <f t="shared" si="101"/>
        <v>9.9999999999999995E-7</v>
      </c>
      <c r="H123" s="704">
        <f t="shared" si="101"/>
        <v>0.18</v>
      </c>
      <c r="I123" s="1466"/>
      <c r="K123" s="1467"/>
      <c r="L123" s="832">
        <v>17</v>
      </c>
      <c r="M123" s="704">
        <f t="shared" ref="M123:R123" si="102">AC$62</f>
        <v>200</v>
      </c>
      <c r="N123" s="704">
        <f t="shared" si="102"/>
        <v>9.9999999999999995E-7</v>
      </c>
      <c r="O123" s="704">
        <f t="shared" si="102"/>
        <v>9.9999999999999995E-7</v>
      </c>
      <c r="P123" s="704" t="str">
        <f t="shared" si="102"/>
        <v>-</v>
      </c>
      <c r="Q123" s="704">
        <f t="shared" si="102"/>
        <v>0</v>
      </c>
      <c r="R123" s="704">
        <f t="shared" si="102"/>
        <v>0.18</v>
      </c>
      <c r="S123" s="1466"/>
    </row>
    <row r="124" spans="1:19" hidden="1" x14ac:dyDescent="0.2">
      <c r="A124" s="1485"/>
      <c r="B124" s="832">
        <v>18</v>
      </c>
      <c r="C124" s="704">
        <f t="shared" ref="C124:H124" si="103">AC$71</f>
        <v>0</v>
      </c>
      <c r="D124" s="704">
        <f t="shared" si="103"/>
        <v>9.9999999999999995E-7</v>
      </c>
      <c r="E124" s="704">
        <f t="shared" si="103"/>
        <v>9.9999999999999995E-7</v>
      </c>
      <c r="F124" s="704" t="str">
        <f t="shared" si="103"/>
        <v>-</v>
      </c>
      <c r="G124" s="704">
        <f t="shared" si="103"/>
        <v>9.9999999999999995E-7</v>
      </c>
      <c r="H124" s="704">
        <f t="shared" si="103"/>
        <v>0.19</v>
      </c>
      <c r="I124" s="1466"/>
      <c r="K124" s="1467"/>
      <c r="L124" s="832">
        <v>18</v>
      </c>
      <c r="M124" s="704">
        <f t="shared" ref="M124:R124" si="104">AC$76</f>
        <v>200</v>
      </c>
      <c r="N124" s="704">
        <f t="shared" si="104"/>
        <v>0.04</v>
      </c>
      <c r="O124" s="704">
        <f t="shared" si="104"/>
        <v>-0.01</v>
      </c>
      <c r="P124" s="704" t="str">
        <f t="shared" si="104"/>
        <v>-</v>
      </c>
      <c r="Q124" s="704">
        <f t="shared" si="104"/>
        <v>2.5000000000000001E-2</v>
      </c>
      <c r="R124" s="704">
        <f t="shared" si="104"/>
        <v>0.19</v>
      </c>
      <c r="S124" s="1466"/>
    </row>
    <row r="125" spans="1:19" hidden="1" x14ac:dyDescent="0.2">
      <c r="A125" s="1485"/>
      <c r="B125" s="832">
        <v>19</v>
      </c>
      <c r="C125" s="704">
        <f t="shared" ref="C125:H125" si="105">AJ$6</f>
        <v>9.9999999999999995E-7</v>
      </c>
      <c r="D125" s="704">
        <f t="shared" si="105"/>
        <v>9.9999999999999995E-7</v>
      </c>
      <c r="E125" s="704">
        <f t="shared" si="105"/>
        <v>9.9999999999999995E-7</v>
      </c>
      <c r="F125" s="704" t="str">
        <f t="shared" si="105"/>
        <v>-</v>
      </c>
      <c r="G125" s="704">
        <f t="shared" si="105"/>
        <v>0</v>
      </c>
      <c r="H125" s="704">
        <f t="shared" si="105"/>
        <v>0.52</v>
      </c>
      <c r="I125" s="1466">
        <v>7</v>
      </c>
      <c r="K125" s="1467"/>
      <c r="L125" s="832">
        <v>19</v>
      </c>
      <c r="M125" s="704">
        <f t="shared" ref="M125:R125" si="106">AJ$11</f>
        <v>200</v>
      </c>
      <c r="N125" s="704">
        <f t="shared" si="106"/>
        <v>-0.53000000000000114</v>
      </c>
      <c r="O125" s="704">
        <f t="shared" si="106"/>
        <v>0.03</v>
      </c>
      <c r="P125" s="704" t="str">
        <f t="shared" si="106"/>
        <v>-</v>
      </c>
      <c r="Q125" s="704">
        <f t="shared" si="106"/>
        <v>0.28000000000000058</v>
      </c>
      <c r="R125" s="704">
        <f t="shared" si="106"/>
        <v>0.52</v>
      </c>
      <c r="S125" s="1466">
        <v>7</v>
      </c>
    </row>
    <row r="126" spans="1:19" hidden="1" x14ac:dyDescent="0.2">
      <c r="A126" s="1485"/>
      <c r="B126" s="832">
        <v>20</v>
      </c>
      <c r="C126" s="704">
        <f t="shared" ref="C126:H126" si="107">AJ$20</f>
        <v>9.9999999999999995E-7</v>
      </c>
      <c r="D126" s="704">
        <f t="shared" si="107"/>
        <v>9.9999999999999995E-7</v>
      </c>
      <c r="E126" s="704">
        <f t="shared" si="107"/>
        <v>9.9999999999999995E-7</v>
      </c>
      <c r="F126" s="704" t="str">
        <f t="shared" si="107"/>
        <v>-</v>
      </c>
      <c r="G126" s="704">
        <f t="shared" si="107"/>
        <v>0</v>
      </c>
      <c r="H126" s="704">
        <f t="shared" si="107"/>
        <v>0.54</v>
      </c>
      <c r="I126" s="1466"/>
      <c r="K126" s="1467"/>
      <c r="L126" s="832">
        <v>20</v>
      </c>
      <c r="M126" s="704">
        <f t="shared" ref="M126:R126" si="108">AJ$25</f>
        <v>200</v>
      </c>
      <c r="N126" s="704">
        <f t="shared" si="108"/>
        <v>-0.34000000000000341</v>
      </c>
      <c r="O126" s="704">
        <f t="shared" si="108"/>
        <v>9.9999999999999995E-7</v>
      </c>
      <c r="P126" s="704" t="str">
        <f t="shared" si="108"/>
        <v>-</v>
      </c>
      <c r="Q126" s="704">
        <f t="shared" si="108"/>
        <v>0.17000050000000169</v>
      </c>
      <c r="R126" s="704">
        <f t="shared" si="108"/>
        <v>0.54</v>
      </c>
      <c r="S126" s="1466"/>
    </row>
    <row r="127" spans="1:19" hidden="1" x14ac:dyDescent="0.2">
      <c r="A127" s="1485"/>
      <c r="B127" s="832">
        <v>21</v>
      </c>
      <c r="C127" s="704">
        <f t="shared" ref="C127:H127" si="109">AQ$6</f>
        <v>9.9999999999999995E-7</v>
      </c>
      <c r="D127" s="704">
        <f t="shared" si="109"/>
        <v>9.9999999999999995E-7</v>
      </c>
      <c r="E127" s="704">
        <f t="shared" si="109"/>
        <v>9.9999999999999995E-7</v>
      </c>
      <c r="F127" s="704" t="str">
        <f t="shared" si="109"/>
        <v>-</v>
      </c>
      <c r="G127" s="704">
        <f t="shared" si="109"/>
        <v>0</v>
      </c>
      <c r="H127" s="704">
        <f t="shared" si="109"/>
        <v>0.62</v>
      </c>
      <c r="I127" s="1466"/>
      <c r="K127" s="1467"/>
      <c r="L127" s="832">
        <v>21</v>
      </c>
      <c r="M127" s="704">
        <f t="shared" ref="M127:R127" si="110">AQ$11</f>
        <v>200</v>
      </c>
      <c r="N127" s="704">
        <f t="shared" si="110"/>
        <v>-0.31999999999999318</v>
      </c>
      <c r="O127" s="704">
        <f t="shared" si="110"/>
        <v>0.06</v>
      </c>
      <c r="P127" s="704" t="str">
        <f t="shared" si="110"/>
        <v>-</v>
      </c>
      <c r="Q127" s="704">
        <f t="shared" si="110"/>
        <v>0.18999999999999659</v>
      </c>
      <c r="R127" s="704">
        <f t="shared" si="110"/>
        <v>0.62</v>
      </c>
      <c r="S127" s="1466"/>
    </row>
    <row r="128" spans="1:19" hidden="1" x14ac:dyDescent="0.2">
      <c r="A128" s="1485"/>
      <c r="B128" s="832">
        <v>22</v>
      </c>
      <c r="C128" s="704">
        <f t="shared" ref="C128:H128" si="111">AQ$20</f>
        <v>9.9999999999999995E-7</v>
      </c>
      <c r="D128" s="704">
        <f t="shared" si="111"/>
        <v>9.9999999999999995E-7</v>
      </c>
      <c r="E128" s="704">
        <f t="shared" si="111"/>
        <v>9.9999999999999995E-7</v>
      </c>
      <c r="F128" s="704" t="str">
        <f t="shared" si="111"/>
        <v>-</v>
      </c>
      <c r="G128" s="704">
        <f t="shared" si="111"/>
        <v>0</v>
      </c>
      <c r="H128" s="704">
        <f t="shared" si="111"/>
        <v>0.27</v>
      </c>
      <c r="I128" s="1466"/>
      <c r="K128" s="1467"/>
      <c r="L128" s="832">
        <v>22</v>
      </c>
      <c r="M128" s="704">
        <f t="shared" ref="M128:R128" si="112">AQ$25</f>
        <v>200</v>
      </c>
      <c r="N128" s="704">
        <f t="shared" si="112"/>
        <v>-9.9999999999909051E-3</v>
      </c>
      <c r="O128" s="704">
        <f t="shared" si="112"/>
        <v>0.03</v>
      </c>
      <c r="P128" s="704" t="str">
        <f t="shared" si="112"/>
        <v>-</v>
      </c>
      <c r="Q128" s="704">
        <f t="shared" si="112"/>
        <v>1.9999999999995452E-2</v>
      </c>
      <c r="R128" s="704">
        <f t="shared" si="112"/>
        <v>0.27</v>
      </c>
      <c r="S128" s="1466"/>
    </row>
    <row r="129" spans="1:19" hidden="1" x14ac:dyDescent="0.2">
      <c r="A129" s="1485"/>
      <c r="B129" s="832">
        <v>23</v>
      </c>
      <c r="C129" s="704">
        <f t="shared" ref="C129:H129" si="113">AJ$57</f>
        <v>0</v>
      </c>
      <c r="D129" s="704">
        <f t="shared" si="113"/>
        <v>9.9999999999999995E-7</v>
      </c>
      <c r="E129" s="704">
        <f t="shared" si="113"/>
        <v>9.9999999999999995E-7</v>
      </c>
      <c r="F129" s="704" t="str">
        <f t="shared" si="113"/>
        <v>-</v>
      </c>
      <c r="G129" s="704">
        <f t="shared" si="113"/>
        <v>9.9999999999999995E-7</v>
      </c>
      <c r="H129" s="704">
        <f t="shared" si="113"/>
        <v>0.65</v>
      </c>
      <c r="I129" s="1466">
        <v>8</v>
      </c>
      <c r="K129" s="1467"/>
      <c r="L129" s="832">
        <v>23</v>
      </c>
      <c r="M129" s="704">
        <f t="shared" ref="M129:R129" si="114">AJ$62</f>
        <v>200</v>
      </c>
      <c r="N129" s="704">
        <f t="shared" si="114"/>
        <v>-0.43000000000000682</v>
      </c>
      <c r="O129" s="704">
        <f t="shared" si="114"/>
        <v>9.9999999999999995E-7</v>
      </c>
      <c r="P129" s="704" t="str">
        <f t="shared" si="114"/>
        <v>-</v>
      </c>
      <c r="Q129" s="704">
        <f t="shared" si="114"/>
        <v>0.2150005000000034</v>
      </c>
      <c r="R129" s="704">
        <f t="shared" si="114"/>
        <v>0.65</v>
      </c>
      <c r="S129" s="1466">
        <v>8</v>
      </c>
    </row>
    <row r="130" spans="1:19" hidden="1" x14ac:dyDescent="0.2">
      <c r="A130" s="1485"/>
      <c r="B130" s="832">
        <v>24</v>
      </c>
      <c r="C130" s="704">
        <f t="shared" ref="C130:H130" si="115">AJ$71</f>
        <v>0</v>
      </c>
      <c r="D130" s="704">
        <f t="shared" si="115"/>
        <v>9.9999999999999995E-7</v>
      </c>
      <c r="E130" s="704">
        <f t="shared" si="115"/>
        <v>9.9999999999999995E-7</v>
      </c>
      <c r="F130" s="704" t="str">
        <f t="shared" si="115"/>
        <v>-</v>
      </c>
      <c r="G130" s="704">
        <f t="shared" si="115"/>
        <v>9.9999999999999995E-7</v>
      </c>
      <c r="H130" s="704">
        <f t="shared" si="115"/>
        <v>0.38</v>
      </c>
      <c r="I130" s="1466"/>
      <c r="K130" s="1467"/>
      <c r="L130" s="832">
        <v>24</v>
      </c>
      <c r="M130" s="704">
        <f t="shared" ref="M130:R130" si="116">AJ$76</f>
        <v>200</v>
      </c>
      <c r="N130" s="704">
        <f t="shared" si="116"/>
        <v>-0.90999999999999659</v>
      </c>
      <c r="O130" s="704">
        <f t="shared" si="116"/>
        <v>-0.01</v>
      </c>
      <c r="P130" s="704" t="str">
        <f t="shared" si="116"/>
        <v>-</v>
      </c>
      <c r="Q130" s="704">
        <f t="shared" si="116"/>
        <v>0.44999999999999829</v>
      </c>
      <c r="R130" s="704">
        <f t="shared" si="116"/>
        <v>0.38</v>
      </c>
      <c r="S130" s="1466"/>
    </row>
    <row r="131" spans="1:19" hidden="1" x14ac:dyDescent="0.2">
      <c r="A131" s="1485"/>
      <c r="B131" s="832">
        <v>25</v>
      </c>
      <c r="C131" s="704">
        <f t="shared" ref="C131:H131" si="117">AQ$57</f>
        <v>0</v>
      </c>
      <c r="D131" s="704">
        <f t="shared" si="117"/>
        <v>9.9999999999999995E-7</v>
      </c>
      <c r="E131" s="704">
        <f t="shared" si="117"/>
        <v>9.9999999999999995E-7</v>
      </c>
      <c r="F131" s="704" t="str">
        <f t="shared" si="117"/>
        <v>-</v>
      </c>
      <c r="G131" s="704">
        <f t="shared" si="117"/>
        <v>9.9999999999999995E-7</v>
      </c>
      <c r="H131" s="704">
        <f t="shared" si="117"/>
        <v>0.57999999999999996</v>
      </c>
      <c r="I131" s="1466"/>
      <c r="K131" s="1467"/>
      <c r="L131" s="832">
        <v>25</v>
      </c>
      <c r="M131" s="704">
        <f t="shared" ref="M131:R131" si="118">AQ$62</f>
        <v>200</v>
      </c>
      <c r="N131" s="704">
        <f t="shared" si="118"/>
        <v>-0.68000000000000682</v>
      </c>
      <c r="O131" s="704">
        <f t="shared" si="118"/>
        <v>-0.01</v>
      </c>
      <c r="P131" s="704" t="str">
        <f t="shared" si="118"/>
        <v>-</v>
      </c>
      <c r="Q131" s="704">
        <f t="shared" si="118"/>
        <v>0.33500000000000341</v>
      </c>
      <c r="R131" s="704">
        <f t="shared" si="118"/>
        <v>0.57999999999999996</v>
      </c>
      <c r="S131" s="1466"/>
    </row>
    <row r="132" spans="1:19" hidden="1" x14ac:dyDescent="0.2">
      <c r="A132" s="1485"/>
      <c r="B132" s="832">
        <v>26</v>
      </c>
      <c r="C132" s="704">
        <f t="shared" ref="C132:H132" si="119">AQ$71</f>
        <v>0</v>
      </c>
      <c r="D132" s="704">
        <f t="shared" si="119"/>
        <v>9.9999999999999995E-7</v>
      </c>
      <c r="E132" s="704">
        <f t="shared" si="119"/>
        <v>9.9999999999999995E-7</v>
      </c>
      <c r="F132" s="704" t="str">
        <f t="shared" si="119"/>
        <v>-</v>
      </c>
      <c r="G132" s="704">
        <f t="shared" si="119"/>
        <v>9.9999999999999995E-7</v>
      </c>
      <c r="H132" s="704">
        <f t="shared" si="119"/>
        <v>0.39</v>
      </c>
      <c r="I132" s="1466"/>
      <c r="K132" s="1467"/>
      <c r="L132" s="832">
        <v>26</v>
      </c>
      <c r="M132" s="704">
        <f t="shared" ref="M132:R132" si="120">AQ$76</f>
        <v>200</v>
      </c>
      <c r="N132" s="704">
        <f t="shared" si="120"/>
        <v>-0.84000000000000341</v>
      </c>
      <c r="O132" s="704">
        <f t="shared" si="120"/>
        <v>9.9999999999999995E-7</v>
      </c>
      <c r="P132" s="704" t="str">
        <f t="shared" si="120"/>
        <v>-</v>
      </c>
      <c r="Q132" s="704">
        <f t="shared" si="120"/>
        <v>0.42000050000000172</v>
      </c>
      <c r="R132" s="704">
        <f t="shared" si="120"/>
        <v>0.39</v>
      </c>
      <c r="S132" s="1466"/>
    </row>
    <row r="133" spans="1:19" hidden="1" x14ac:dyDescent="0.2">
      <c r="A133" s="1485"/>
      <c r="B133" s="832">
        <v>27</v>
      </c>
      <c r="C133" s="704">
        <f t="shared" ref="C133:H133" si="121">AX$6</f>
        <v>0</v>
      </c>
      <c r="D133" s="704">
        <f t="shared" si="121"/>
        <v>9.9999999999999995E-7</v>
      </c>
      <c r="E133" s="704" t="str">
        <f t="shared" si="121"/>
        <v>-</v>
      </c>
      <c r="F133" s="704" t="str">
        <f t="shared" si="121"/>
        <v>-</v>
      </c>
      <c r="G133" s="704">
        <f t="shared" si="121"/>
        <v>9.9999999999999995E-7</v>
      </c>
      <c r="H133" s="704">
        <f t="shared" si="121"/>
        <v>0.57999999999999996</v>
      </c>
      <c r="I133" s="1466">
        <v>9</v>
      </c>
      <c r="K133" s="1467"/>
      <c r="L133" s="832">
        <v>27</v>
      </c>
      <c r="M133" s="704">
        <f t="shared" ref="M133:R133" si="122">AX$11</f>
        <v>200</v>
      </c>
      <c r="N133" s="704">
        <f t="shared" si="122"/>
        <v>-0.05</v>
      </c>
      <c r="O133" s="704" t="str">
        <f t="shared" si="122"/>
        <v>-</v>
      </c>
      <c r="P133" s="704" t="str">
        <f t="shared" si="122"/>
        <v>-</v>
      </c>
      <c r="Q133" s="704">
        <f t="shared" si="122"/>
        <v>0</v>
      </c>
      <c r="R133" s="704">
        <f t="shared" si="122"/>
        <v>0.57999999999999996</v>
      </c>
      <c r="S133" s="1466">
        <v>9</v>
      </c>
    </row>
    <row r="134" spans="1:19" hidden="1" x14ac:dyDescent="0.2">
      <c r="A134" s="1485"/>
      <c r="B134" s="832">
        <v>28</v>
      </c>
      <c r="C134" s="704">
        <f t="shared" ref="C134:H134" si="123">AX$20</f>
        <v>0</v>
      </c>
      <c r="D134" s="704">
        <f t="shared" si="123"/>
        <v>9.9999999999999995E-7</v>
      </c>
      <c r="E134" s="704" t="str">
        <f t="shared" si="123"/>
        <v>-</v>
      </c>
      <c r="F134" s="704" t="str">
        <f t="shared" si="123"/>
        <v>-</v>
      </c>
      <c r="G134" s="704">
        <f t="shared" si="123"/>
        <v>9.9999999999999995E-7</v>
      </c>
      <c r="H134" s="704">
        <f t="shared" si="123"/>
        <v>0.65</v>
      </c>
      <c r="I134" s="1466"/>
      <c r="K134" s="1467"/>
      <c r="L134" s="832">
        <v>28</v>
      </c>
      <c r="M134" s="704">
        <f t="shared" ref="M134:R134" si="124">AX$25</f>
        <v>200</v>
      </c>
      <c r="N134" s="704">
        <f t="shared" si="124"/>
        <v>-0.53000000000000114</v>
      </c>
      <c r="O134" s="704" t="str">
        <f t="shared" si="124"/>
        <v>-</v>
      </c>
      <c r="P134" s="704" t="str">
        <f t="shared" si="124"/>
        <v>-</v>
      </c>
      <c r="Q134" s="704">
        <f t="shared" si="124"/>
        <v>0</v>
      </c>
      <c r="R134" s="704">
        <f t="shared" si="124"/>
        <v>0.65</v>
      </c>
      <c r="S134" s="1466"/>
    </row>
    <row r="135" spans="1:19" hidden="1" x14ac:dyDescent="0.2">
      <c r="A135" s="1485"/>
      <c r="B135" s="832">
        <v>29</v>
      </c>
      <c r="C135" s="704">
        <f t="shared" ref="C135:H135" si="125">BE$6</f>
        <v>0</v>
      </c>
      <c r="D135" s="704">
        <f t="shared" si="125"/>
        <v>9.9999999999999995E-7</v>
      </c>
      <c r="E135" s="704" t="str">
        <f t="shared" si="125"/>
        <v>-</v>
      </c>
      <c r="F135" s="704" t="str">
        <f t="shared" si="125"/>
        <v>-</v>
      </c>
      <c r="G135" s="704">
        <f t="shared" si="125"/>
        <v>9.9999999999999995E-7</v>
      </c>
      <c r="H135" s="704">
        <f t="shared" si="125"/>
        <v>0.37</v>
      </c>
      <c r="I135" s="1466"/>
      <c r="K135" s="1467"/>
      <c r="L135" s="832">
        <v>29</v>
      </c>
      <c r="M135" s="704">
        <f t="shared" ref="M135:R135" si="126">BE$11</f>
        <v>200</v>
      </c>
      <c r="N135" s="704">
        <f t="shared" si="126"/>
        <v>-0.37999999999999545</v>
      </c>
      <c r="O135" s="704" t="str">
        <f t="shared" si="126"/>
        <v>-</v>
      </c>
      <c r="P135" s="704" t="str">
        <f t="shared" si="126"/>
        <v>-</v>
      </c>
      <c r="Q135" s="704">
        <f t="shared" si="126"/>
        <v>0</v>
      </c>
      <c r="R135" s="704">
        <f t="shared" si="126"/>
        <v>0.37</v>
      </c>
      <c r="S135" s="1466"/>
    </row>
    <row r="136" spans="1:19" hidden="1" x14ac:dyDescent="0.2">
      <c r="A136" s="1485"/>
      <c r="B136" s="832">
        <v>30</v>
      </c>
      <c r="C136" s="704">
        <f t="shared" ref="C136:H136" si="127">BE$20</f>
        <v>0</v>
      </c>
      <c r="D136" s="704">
        <f t="shared" si="127"/>
        <v>9.9999999999999995E-7</v>
      </c>
      <c r="E136" s="704" t="str">
        <f t="shared" si="127"/>
        <v>-</v>
      </c>
      <c r="F136" s="704" t="str">
        <f t="shared" si="127"/>
        <v>-</v>
      </c>
      <c r="G136" s="704">
        <f t="shared" si="127"/>
        <v>9.9999999999999995E-7</v>
      </c>
      <c r="H136" s="704">
        <f t="shared" si="127"/>
        <v>0.74</v>
      </c>
      <c r="I136" s="1466"/>
      <c r="K136" s="1467"/>
      <c r="L136" s="832">
        <v>30</v>
      </c>
      <c r="M136" s="704">
        <f t="shared" ref="M136:R136" si="128">BE$25</f>
        <v>200</v>
      </c>
      <c r="N136" s="704">
        <f t="shared" si="128"/>
        <v>-0.38999999999998636</v>
      </c>
      <c r="O136" s="704" t="str">
        <f t="shared" si="128"/>
        <v>-</v>
      </c>
      <c r="P136" s="704" t="str">
        <f t="shared" si="128"/>
        <v>-</v>
      </c>
      <c r="Q136" s="704">
        <f t="shared" si="128"/>
        <v>0</v>
      </c>
      <c r="R136" s="704">
        <f t="shared" si="128"/>
        <v>0.74</v>
      </c>
      <c r="S136" s="1466"/>
    </row>
    <row r="137" spans="1:19" hidden="1" x14ac:dyDescent="0.2">
      <c r="A137" s="1485"/>
      <c r="B137" s="832">
        <v>31</v>
      </c>
      <c r="C137" s="704">
        <f t="shared" ref="C137:H137" si="129">AX$57</f>
        <v>0</v>
      </c>
      <c r="D137" s="704" t="str">
        <f t="shared" si="129"/>
        <v>-</v>
      </c>
      <c r="E137" s="704" t="str">
        <f t="shared" si="129"/>
        <v>-</v>
      </c>
      <c r="F137" s="704" t="str">
        <f t="shared" si="129"/>
        <v>-</v>
      </c>
      <c r="G137" s="704">
        <f t="shared" si="129"/>
        <v>9.9999999999999995E-7</v>
      </c>
      <c r="H137" s="704">
        <f t="shared" si="129"/>
        <v>0</v>
      </c>
      <c r="I137" s="1466">
        <v>10</v>
      </c>
      <c r="K137" s="1467"/>
      <c r="L137" s="832">
        <v>31</v>
      </c>
      <c r="M137" s="704">
        <f t="shared" ref="M137:R137" si="130">AX$62</f>
        <v>100</v>
      </c>
      <c r="N137" s="704" t="str">
        <f t="shared" si="130"/>
        <v>-</v>
      </c>
      <c r="O137" s="704" t="str">
        <f t="shared" si="130"/>
        <v>-</v>
      </c>
      <c r="P137" s="704" t="str">
        <f t="shared" si="130"/>
        <v>-</v>
      </c>
      <c r="Q137" s="704">
        <f t="shared" si="130"/>
        <v>0</v>
      </c>
      <c r="R137" s="704">
        <f t="shared" si="130"/>
        <v>0</v>
      </c>
      <c r="S137" s="1466">
        <v>10</v>
      </c>
    </row>
    <row r="138" spans="1:19" hidden="1" x14ac:dyDescent="0.2">
      <c r="A138" s="1485"/>
      <c r="B138" s="832">
        <v>32</v>
      </c>
      <c r="C138" s="704">
        <f t="shared" ref="C138:H138" si="131">AX$71</f>
        <v>0</v>
      </c>
      <c r="D138" s="704" t="str">
        <f t="shared" si="131"/>
        <v>-</v>
      </c>
      <c r="E138" s="704" t="str">
        <f t="shared" si="131"/>
        <v>-</v>
      </c>
      <c r="F138" s="704" t="str">
        <f t="shared" si="131"/>
        <v>-</v>
      </c>
      <c r="G138" s="704">
        <f t="shared" si="131"/>
        <v>9.9999999999999995E-7</v>
      </c>
      <c r="H138" s="704">
        <f t="shared" si="131"/>
        <v>0</v>
      </c>
      <c r="I138" s="1466"/>
      <c r="K138" s="1467"/>
      <c r="L138" s="832">
        <v>32</v>
      </c>
      <c r="M138" s="704">
        <f t="shared" ref="M138:R138" si="132">AX$76</f>
        <v>100</v>
      </c>
      <c r="N138" s="704" t="str">
        <f t="shared" si="132"/>
        <v>-</v>
      </c>
      <c r="O138" s="704" t="str">
        <f t="shared" si="132"/>
        <v>-</v>
      </c>
      <c r="P138" s="704" t="str">
        <f t="shared" si="132"/>
        <v>-</v>
      </c>
      <c r="Q138" s="704">
        <f t="shared" si="132"/>
        <v>0</v>
      </c>
      <c r="R138" s="704">
        <f t="shared" si="132"/>
        <v>0</v>
      </c>
      <c r="S138" s="1466"/>
    </row>
    <row r="139" spans="1:19" hidden="1" x14ac:dyDescent="0.2">
      <c r="A139" s="1485"/>
      <c r="B139" s="832">
        <v>33</v>
      </c>
      <c r="C139" s="704">
        <f t="shared" ref="C139:H139" si="133">BE$57</f>
        <v>0</v>
      </c>
      <c r="D139" s="704" t="str">
        <f t="shared" si="133"/>
        <v>-</v>
      </c>
      <c r="E139" s="704" t="str">
        <f t="shared" si="133"/>
        <v>-</v>
      </c>
      <c r="F139" s="704" t="str">
        <f t="shared" si="133"/>
        <v>-</v>
      </c>
      <c r="G139" s="704">
        <f t="shared" si="133"/>
        <v>9.9999999999999995E-7</v>
      </c>
      <c r="H139" s="704">
        <f t="shared" si="133"/>
        <v>0</v>
      </c>
      <c r="I139" s="1466"/>
      <c r="K139" s="1467"/>
      <c r="L139" s="832">
        <v>33</v>
      </c>
      <c r="M139" s="704">
        <f t="shared" ref="M139:R139" si="134">BE$62</f>
        <v>100</v>
      </c>
      <c r="N139" s="704" t="str">
        <f t="shared" si="134"/>
        <v>-</v>
      </c>
      <c r="O139" s="704" t="str">
        <f t="shared" si="134"/>
        <v>-</v>
      </c>
      <c r="P139" s="704" t="str">
        <f t="shared" si="134"/>
        <v>-</v>
      </c>
      <c r="Q139" s="704">
        <f t="shared" si="134"/>
        <v>0</v>
      </c>
      <c r="R139" s="704">
        <f t="shared" si="134"/>
        <v>0</v>
      </c>
      <c r="S139" s="1466"/>
    </row>
    <row r="140" spans="1:19" hidden="1" x14ac:dyDescent="0.2">
      <c r="A140" s="1485"/>
      <c r="B140" s="832">
        <v>34</v>
      </c>
      <c r="C140" s="704">
        <f t="shared" ref="C140:H140" si="135">BE$71</f>
        <v>0</v>
      </c>
      <c r="D140" s="704" t="str">
        <f t="shared" si="135"/>
        <v>-</v>
      </c>
      <c r="E140" s="704" t="str">
        <f t="shared" si="135"/>
        <v>-</v>
      </c>
      <c r="F140" s="704" t="str">
        <f t="shared" si="135"/>
        <v>-</v>
      </c>
      <c r="G140" s="704">
        <f t="shared" si="135"/>
        <v>9.9999999999999995E-7</v>
      </c>
      <c r="H140" s="704">
        <f t="shared" si="135"/>
        <v>0</v>
      </c>
      <c r="I140" s="1466"/>
      <c r="K140" s="1467"/>
      <c r="L140" s="832">
        <v>34</v>
      </c>
      <c r="M140" s="704">
        <f t="shared" ref="M140:R140" si="136">BE$76</f>
        <v>100</v>
      </c>
      <c r="N140" s="704" t="str">
        <f t="shared" si="136"/>
        <v>-</v>
      </c>
      <c r="O140" s="704" t="str">
        <f t="shared" si="136"/>
        <v>-</v>
      </c>
      <c r="P140" s="704" t="str">
        <f t="shared" si="136"/>
        <v>-</v>
      </c>
      <c r="Q140" s="704">
        <f t="shared" si="136"/>
        <v>0</v>
      </c>
      <c r="R140" s="704">
        <f t="shared" si="136"/>
        <v>0</v>
      </c>
      <c r="S140" s="1466"/>
    </row>
    <row r="141" spans="1:19" hidden="1" x14ac:dyDescent="0.2">
      <c r="A141" s="531"/>
      <c r="B141" s="833"/>
      <c r="C141" s="459"/>
      <c r="D141" s="459"/>
      <c r="E141" s="459"/>
      <c r="G141" s="459"/>
      <c r="H141" s="459"/>
      <c r="I141" s="834"/>
      <c r="K141" s="532"/>
      <c r="L141" s="835"/>
      <c r="M141" s="453"/>
      <c r="N141" s="453"/>
      <c r="O141" s="453"/>
      <c r="P141" s="453"/>
      <c r="Q141" s="453"/>
      <c r="R141" s="453"/>
      <c r="S141" s="601"/>
    </row>
    <row r="142" spans="1:19" hidden="1" x14ac:dyDescent="0.2">
      <c r="A142" s="1485" t="s">
        <v>52</v>
      </c>
      <c r="B142" s="832">
        <v>1</v>
      </c>
      <c r="C142" s="704">
        <f>A$7</f>
        <v>10</v>
      </c>
      <c r="D142" s="704">
        <f t="shared" ref="D142:F142" si="137">B$7</f>
        <v>-0.01</v>
      </c>
      <c r="E142" s="704">
        <f t="shared" si="137"/>
        <v>-0.3</v>
      </c>
      <c r="F142" s="704" t="str">
        <f t="shared" si="137"/>
        <v>-</v>
      </c>
      <c r="G142" s="704">
        <f>E$7</f>
        <v>0.14499999999999999</v>
      </c>
      <c r="H142" s="704">
        <f>F$7</f>
        <v>0.19</v>
      </c>
      <c r="I142" s="1466">
        <v>1</v>
      </c>
      <c r="K142" s="1467" t="s">
        <v>421</v>
      </c>
      <c r="L142" s="832">
        <v>1</v>
      </c>
      <c r="M142" s="704">
        <f t="shared" ref="M142:R142" si="138">A$12</f>
        <v>250</v>
      </c>
      <c r="N142" s="704">
        <f t="shared" si="138"/>
        <v>0.05</v>
      </c>
      <c r="O142" s="704">
        <f t="shared" si="138"/>
        <v>-0.01</v>
      </c>
      <c r="P142" s="704" t="str">
        <f t="shared" si="138"/>
        <v>-</v>
      </c>
      <c r="Q142" s="704">
        <f t="shared" si="138"/>
        <v>3.0000000000000002E-2</v>
      </c>
      <c r="R142" s="704">
        <f t="shared" si="138"/>
        <v>0.19</v>
      </c>
      <c r="S142" s="1466">
        <v>1</v>
      </c>
    </row>
    <row r="143" spans="1:19" hidden="1" x14ac:dyDescent="0.2">
      <c r="A143" s="1485"/>
      <c r="B143" s="832">
        <v>2</v>
      </c>
      <c r="C143" s="704">
        <f>A$21</f>
        <v>10</v>
      </c>
      <c r="D143" s="704">
        <f t="shared" ref="D143:F143" si="139">B$21</f>
        <v>0.11</v>
      </c>
      <c r="E143" s="704">
        <f t="shared" si="139"/>
        <v>0.05</v>
      </c>
      <c r="F143" s="704" t="str">
        <f t="shared" si="139"/>
        <v>-</v>
      </c>
      <c r="G143" s="704">
        <f>E$21</f>
        <v>0.03</v>
      </c>
      <c r="H143" s="704">
        <f>F$21</f>
        <v>0.41</v>
      </c>
      <c r="I143" s="1466"/>
      <c r="K143" s="1467"/>
      <c r="L143" s="832">
        <v>2</v>
      </c>
      <c r="M143" s="704">
        <f t="shared" ref="M143:R143" si="140">A$26</f>
        <v>250</v>
      </c>
      <c r="N143" s="704">
        <f t="shared" si="140"/>
        <v>7.0000000000000007E-2</v>
      </c>
      <c r="O143" s="704">
        <f t="shared" si="140"/>
        <v>0.08</v>
      </c>
      <c r="P143" s="704" t="str">
        <f t="shared" si="140"/>
        <v>-</v>
      </c>
      <c r="Q143" s="704">
        <f t="shared" si="140"/>
        <v>4.9999999999999975E-3</v>
      </c>
      <c r="R143" s="704">
        <f t="shared" si="140"/>
        <v>0.41</v>
      </c>
      <c r="S143" s="1466"/>
    </row>
    <row r="144" spans="1:19" hidden="1" x14ac:dyDescent="0.2">
      <c r="A144" s="1485"/>
      <c r="B144" s="832">
        <v>3</v>
      </c>
      <c r="C144" s="704">
        <f t="shared" ref="C144:H144" si="141">H$7</f>
        <v>10</v>
      </c>
      <c r="D144" s="704">
        <f t="shared" si="141"/>
        <v>-0.15</v>
      </c>
      <c r="E144" s="704">
        <f t="shared" si="141"/>
        <v>-7.0000000000000007E-2</v>
      </c>
      <c r="F144" s="704" t="str">
        <f t="shared" si="141"/>
        <v>-</v>
      </c>
      <c r="G144" s="704">
        <f t="shared" si="141"/>
        <v>3.9999999999999994E-2</v>
      </c>
      <c r="H144" s="704">
        <f t="shared" si="141"/>
        <v>0.32</v>
      </c>
      <c r="I144" s="1466"/>
      <c r="K144" s="1467"/>
      <c r="L144" s="832">
        <v>3</v>
      </c>
      <c r="M144" s="704">
        <f t="shared" ref="M144:R144" si="142">H$12</f>
        <v>250</v>
      </c>
      <c r="N144" s="704">
        <f t="shared" si="142"/>
        <v>0.11</v>
      </c>
      <c r="O144" s="704">
        <f t="shared" si="142"/>
        <v>0.06</v>
      </c>
      <c r="P144" s="704" t="str">
        <f t="shared" si="142"/>
        <v>-</v>
      </c>
      <c r="Q144" s="704">
        <f t="shared" si="142"/>
        <v>2.5000000000000001E-2</v>
      </c>
      <c r="R144" s="704">
        <f t="shared" si="142"/>
        <v>0.32</v>
      </c>
      <c r="S144" s="1466"/>
    </row>
    <row r="145" spans="1:19" hidden="1" x14ac:dyDescent="0.2">
      <c r="A145" s="1485"/>
      <c r="B145" s="832">
        <v>4</v>
      </c>
      <c r="C145" s="704">
        <f t="shared" ref="C145:H145" si="143">H$21</f>
        <v>10</v>
      </c>
      <c r="D145" s="704">
        <f t="shared" si="143"/>
        <v>-0.08</v>
      </c>
      <c r="E145" s="704">
        <f t="shared" si="143"/>
        <v>-0.17</v>
      </c>
      <c r="F145" s="704" t="str">
        <f t="shared" si="143"/>
        <v>-</v>
      </c>
      <c r="G145" s="704">
        <f t="shared" si="143"/>
        <v>4.5000000000000005E-2</v>
      </c>
      <c r="H145" s="704">
        <f t="shared" si="143"/>
        <v>0.28999999999999998</v>
      </c>
      <c r="I145" s="1466"/>
      <c r="K145" s="1467"/>
      <c r="L145" s="832">
        <v>4</v>
      </c>
      <c r="M145" s="704">
        <f t="shared" ref="M145:R145" si="144">H$26</f>
        <v>250</v>
      </c>
      <c r="N145" s="704">
        <f t="shared" si="144"/>
        <v>0.03</v>
      </c>
      <c r="O145" s="704">
        <f t="shared" si="144"/>
        <v>0.06</v>
      </c>
      <c r="P145" s="704" t="str">
        <f t="shared" si="144"/>
        <v>-</v>
      </c>
      <c r="Q145" s="704">
        <f t="shared" si="144"/>
        <v>1.4999999999999999E-2</v>
      </c>
      <c r="R145" s="704">
        <f t="shared" si="144"/>
        <v>0.28999999999999998</v>
      </c>
      <c r="S145" s="1466"/>
    </row>
    <row r="146" spans="1:19" hidden="1" x14ac:dyDescent="0.2">
      <c r="A146" s="1485"/>
      <c r="B146" s="832">
        <v>5</v>
      </c>
      <c r="C146" s="704">
        <f t="shared" ref="C146:H146" si="145">O$7</f>
        <v>10</v>
      </c>
      <c r="D146" s="704">
        <f t="shared" si="145"/>
        <v>6.0000000000000497E-2</v>
      </c>
      <c r="E146" s="704">
        <f t="shared" si="145"/>
        <v>-0.02</v>
      </c>
      <c r="F146" s="704">
        <f t="shared" si="145"/>
        <v>0.44</v>
      </c>
      <c r="G146" s="704">
        <f t="shared" si="145"/>
        <v>0.23</v>
      </c>
      <c r="H146" s="704">
        <f t="shared" si="145"/>
        <v>0.71</v>
      </c>
      <c r="I146" s="702">
        <v>2</v>
      </c>
      <c r="K146" s="1467"/>
      <c r="L146" s="832">
        <v>5</v>
      </c>
      <c r="M146" s="704">
        <f t="shared" ref="M146:R146" si="146">O$12</f>
        <v>250</v>
      </c>
      <c r="N146" s="704">
        <f t="shared" si="146"/>
        <v>-0.41999999999998749</v>
      </c>
      <c r="O146" s="704">
        <f t="shared" si="146"/>
        <v>0.01</v>
      </c>
      <c r="P146" s="704">
        <f t="shared" si="146"/>
        <v>0.09</v>
      </c>
      <c r="Q146" s="704">
        <f t="shared" si="146"/>
        <v>0.25499999999999373</v>
      </c>
      <c r="R146" s="704">
        <f t="shared" si="146"/>
        <v>0.71</v>
      </c>
      <c r="S146" s="702">
        <v>2</v>
      </c>
    </row>
    <row r="147" spans="1:19" hidden="1" x14ac:dyDescent="0.2">
      <c r="A147" s="1485"/>
      <c r="B147" s="832">
        <v>6</v>
      </c>
      <c r="C147" s="704">
        <f t="shared" ref="C147:H147" si="147">V$7</f>
        <v>10</v>
      </c>
      <c r="D147" s="704">
        <f t="shared" si="147"/>
        <v>2.9999999999999361E-2</v>
      </c>
      <c r="E147" s="704">
        <f t="shared" si="147"/>
        <v>-0.15</v>
      </c>
      <c r="F147" s="704">
        <f t="shared" si="147"/>
        <v>9.9999999999999995E-7</v>
      </c>
      <c r="G147" s="704">
        <f t="shared" si="147"/>
        <v>8.9999999999999677E-2</v>
      </c>
      <c r="H147" s="704">
        <f t="shared" si="147"/>
        <v>0.11</v>
      </c>
      <c r="I147" s="1466">
        <v>3</v>
      </c>
      <c r="K147" s="1467"/>
      <c r="L147" s="832">
        <v>6</v>
      </c>
      <c r="M147" s="704">
        <f t="shared" ref="M147:R147" si="148">V$12</f>
        <v>250</v>
      </c>
      <c r="N147" s="704">
        <f t="shared" si="148"/>
        <v>2.0000000000010232E-2</v>
      </c>
      <c r="O147" s="704">
        <f t="shared" si="148"/>
        <v>-0.12</v>
      </c>
      <c r="P147" s="704">
        <f t="shared" si="148"/>
        <v>0.52</v>
      </c>
      <c r="Q147" s="704">
        <f t="shared" si="148"/>
        <v>0.32</v>
      </c>
      <c r="R147" s="704">
        <f t="shared" si="148"/>
        <v>0.11</v>
      </c>
      <c r="S147" s="1466">
        <v>3</v>
      </c>
    </row>
    <row r="148" spans="1:19" hidden="1" x14ac:dyDescent="0.2">
      <c r="A148" s="1485"/>
      <c r="B148" s="832">
        <v>7</v>
      </c>
      <c r="C148" s="704">
        <f t="shared" ref="C148:H148" si="149">V$21</f>
        <v>10</v>
      </c>
      <c r="D148" s="704">
        <f t="shared" si="149"/>
        <v>0.15000000000000036</v>
      </c>
      <c r="E148" s="704">
        <f t="shared" si="149"/>
        <v>0.01</v>
      </c>
      <c r="F148" s="704">
        <f t="shared" si="149"/>
        <v>9.9999999999999995E-7</v>
      </c>
      <c r="G148" s="704">
        <f t="shared" si="149"/>
        <v>7.4999500000000177E-2</v>
      </c>
      <c r="H148" s="704">
        <f t="shared" si="149"/>
        <v>0.33</v>
      </c>
      <c r="I148" s="1466"/>
      <c r="K148" s="1467"/>
      <c r="L148" s="832">
        <v>7</v>
      </c>
      <c r="M148" s="704">
        <f t="shared" ref="M148:R148" si="150">V$26</f>
        <v>250</v>
      </c>
      <c r="N148" s="704">
        <f t="shared" si="150"/>
        <v>6.0000000000002274E-2</v>
      </c>
      <c r="O148" s="704">
        <f t="shared" si="150"/>
        <v>0.01</v>
      </c>
      <c r="P148" s="704">
        <f t="shared" si="150"/>
        <v>0.52</v>
      </c>
      <c r="Q148" s="704">
        <f t="shared" si="150"/>
        <v>0.255</v>
      </c>
      <c r="R148" s="704">
        <f t="shared" si="150"/>
        <v>0.33</v>
      </c>
      <c r="S148" s="1466"/>
    </row>
    <row r="149" spans="1:19" hidden="1" x14ac:dyDescent="0.2">
      <c r="A149" s="1485"/>
      <c r="B149" s="832">
        <v>8</v>
      </c>
      <c r="C149" s="704">
        <f t="shared" ref="C149:H149" si="151">AC$7</f>
        <v>10</v>
      </c>
      <c r="D149" s="704">
        <f t="shared" si="151"/>
        <v>9.9999999999999645E-2</v>
      </c>
      <c r="E149" s="704">
        <f t="shared" si="151"/>
        <v>0.01</v>
      </c>
      <c r="F149" s="704">
        <f t="shared" si="151"/>
        <v>9.9999999999999995E-7</v>
      </c>
      <c r="G149" s="704">
        <f t="shared" si="151"/>
        <v>4.9999499999999822E-2</v>
      </c>
      <c r="H149" s="704">
        <f t="shared" si="151"/>
        <v>0.3</v>
      </c>
      <c r="I149" s="1466"/>
      <c r="K149" s="1467"/>
      <c r="L149" s="832">
        <v>8</v>
      </c>
      <c r="M149" s="704">
        <f t="shared" ref="M149:R149" si="152">AC$12</f>
        <v>250</v>
      </c>
      <c r="N149" s="704">
        <f t="shared" si="152"/>
        <v>5.0000000000011369E-2</v>
      </c>
      <c r="O149" s="704">
        <f t="shared" si="152"/>
        <v>0.02</v>
      </c>
      <c r="P149" s="704">
        <f t="shared" si="152"/>
        <v>0.52</v>
      </c>
      <c r="Q149" s="704">
        <f t="shared" si="152"/>
        <v>0.25</v>
      </c>
      <c r="R149" s="704">
        <f t="shared" si="152"/>
        <v>0.3</v>
      </c>
      <c r="S149" s="1466"/>
    </row>
    <row r="150" spans="1:19" hidden="1" x14ac:dyDescent="0.2">
      <c r="A150" s="1485"/>
      <c r="B150" s="832">
        <v>9</v>
      </c>
      <c r="C150" s="704">
        <f t="shared" ref="C150:H150" si="153">AC$21</f>
        <v>10</v>
      </c>
      <c r="D150" s="704">
        <f t="shared" si="153"/>
        <v>9.9999999999997868E-3</v>
      </c>
      <c r="E150" s="704">
        <f t="shared" si="153"/>
        <v>0.01</v>
      </c>
      <c r="F150" s="704">
        <f t="shared" si="153"/>
        <v>9.9999999999999995E-7</v>
      </c>
      <c r="G150" s="704">
        <f t="shared" si="153"/>
        <v>4.9995000000000005E-3</v>
      </c>
      <c r="H150" s="704">
        <f t="shared" si="153"/>
        <v>0.14000000000000001</v>
      </c>
      <c r="I150" s="1466"/>
      <c r="K150" s="1467"/>
      <c r="L150" s="832">
        <v>9</v>
      </c>
      <c r="M150" s="704">
        <f t="shared" ref="M150:R150" si="154">AC$26</f>
        <v>250</v>
      </c>
      <c r="N150" s="704">
        <f t="shared" si="154"/>
        <v>9.9999999999909051E-3</v>
      </c>
      <c r="O150" s="704">
        <f t="shared" si="154"/>
        <v>0.01</v>
      </c>
      <c r="P150" s="704">
        <f t="shared" si="154"/>
        <v>0.52</v>
      </c>
      <c r="Q150" s="704">
        <f t="shared" si="154"/>
        <v>0.25500000000000456</v>
      </c>
      <c r="R150" s="704">
        <f t="shared" si="154"/>
        <v>0.14000000000000001</v>
      </c>
      <c r="S150" s="1466"/>
    </row>
    <row r="151" spans="1:19" hidden="1" x14ac:dyDescent="0.2">
      <c r="A151" s="1485"/>
      <c r="B151" s="832">
        <v>10</v>
      </c>
      <c r="C151" s="704">
        <f>A$58</f>
        <v>10</v>
      </c>
      <c r="D151" s="704">
        <f t="shared" ref="D151:F151" si="155">B$58</f>
        <v>-7.0000000000000007E-2</v>
      </c>
      <c r="E151" s="704" t="str">
        <f t="shared" si="155"/>
        <v>-</v>
      </c>
      <c r="F151" s="704" t="str">
        <f t="shared" si="155"/>
        <v>-</v>
      </c>
      <c r="G151" s="704">
        <f>E$58</f>
        <v>0</v>
      </c>
      <c r="H151" s="704">
        <f>F$58</f>
        <v>0.32</v>
      </c>
      <c r="I151" s="1466">
        <v>4</v>
      </c>
      <c r="K151" s="1467"/>
      <c r="L151" s="832">
        <v>10</v>
      </c>
      <c r="M151" s="704">
        <f t="shared" ref="M151:R151" si="156">A$63</f>
        <v>250</v>
      </c>
      <c r="N151" s="704">
        <f t="shared" si="156"/>
        <v>-0.09</v>
      </c>
      <c r="O151" s="704" t="str">
        <f t="shared" si="156"/>
        <v>-</v>
      </c>
      <c r="P151" s="704" t="str">
        <f t="shared" si="156"/>
        <v>-</v>
      </c>
      <c r="Q151" s="704">
        <f t="shared" si="156"/>
        <v>0</v>
      </c>
      <c r="R151" s="704">
        <f t="shared" si="156"/>
        <v>0.32</v>
      </c>
      <c r="S151" s="1466">
        <v>4</v>
      </c>
    </row>
    <row r="152" spans="1:19" hidden="1" x14ac:dyDescent="0.2">
      <c r="A152" s="1485"/>
      <c r="B152" s="832">
        <v>11</v>
      </c>
      <c r="C152" s="704">
        <f>A$72</f>
        <v>10</v>
      </c>
      <c r="D152" s="704">
        <f t="shared" ref="D152:F152" si="157">B$72</f>
        <v>-0.06</v>
      </c>
      <c r="E152" s="704" t="str">
        <f t="shared" si="157"/>
        <v>-</v>
      </c>
      <c r="F152" s="704" t="str">
        <f t="shared" si="157"/>
        <v>-</v>
      </c>
      <c r="G152" s="704">
        <f>E$72</f>
        <v>0</v>
      </c>
      <c r="H152" s="704">
        <f>F$72</f>
        <v>0.23</v>
      </c>
      <c r="I152" s="1466"/>
      <c r="K152" s="1467"/>
      <c r="L152" s="832">
        <v>11</v>
      </c>
      <c r="M152" s="704">
        <f t="shared" ref="M152:R152" si="158">A$77</f>
        <v>250</v>
      </c>
      <c r="N152" s="704">
        <f t="shared" si="158"/>
        <v>0.09</v>
      </c>
      <c r="O152" s="704" t="str">
        <f t="shared" si="158"/>
        <v>-</v>
      </c>
      <c r="P152" s="704" t="str">
        <f t="shared" si="158"/>
        <v>-</v>
      </c>
      <c r="Q152" s="704">
        <f t="shared" si="158"/>
        <v>0</v>
      </c>
      <c r="R152" s="704">
        <f t="shared" si="158"/>
        <v>0.23</v>
      </c>
      <c r="S152" s="1466"/>
    </row>
    <row r="153" spans="1:19" hidden="1" x14ac:dyDescent="0.2">
      <c r="A153" s="1485"/>
      <c r="B153" s="832">
        <v>12</v>
      </c>
      <c r="C153" s="704">
        <f t="shared" ref="C153:H153" si="159">H$58</f>
        <v>10</v>
      </c>
      <c r="D153" s="704">
        <f t="shared" si="159"/>
        <v>-0.13</v>
      </c>
      <c r="E153" s="704" t="str">
        <f t="shared" si="159"/>
        <v>-</v>
      </c>
      <c r="F153" s="704" t="str">
        <f t="shared" si="159"/>
        <v>-</v>
      </c>
      <c r="G153" s="704">
        <f t="shared" si="159"/>
        <v>0</v>
      </c>
      <c r="H153" s="704">
        <f t="shared" si="159"/>
        <v>0.48</v>
      </c>
      <c r="I153" s="1466"/>
      <c r="K153" s="1467"/>
      <c r="L153" s="832">
        <v>12</v>
      </c>
      <c r="M153" s="704">
        <f t="shared" ref="M153:R153" si="160">H$63</f>
        <v>250</v>
      </c>
      <c r="N153" s="704">
        <f t="shared" si="160"/>
        <v>9.9999999999999995E-7</v>
      </c>
      <c r="O153" s="704" t="str">
        <f t="shared" si="160"/>
        <v>-</v>
      </c>
      <c r="P153" s="704" t="str">
        <f t="shared" si="160"/>
        <v>-</v>
      </c>
      <c r="Q153" s="704">
        <f t="shared" si="160"/>
        <v>0</v>
      </c>
      <c r="R153" s="704">
        <f t="shared" si="160"/>
        <v>0.48</v>
      </c>
      <c r="S153" s="1466"/>
    </row>
    <row r="154" spans="1:19" hidden="1" x14ac:dyDescent="0.2">
      <c r="A154" s="1485"/>
      <c r="B154" s="832">
        <v>13</v>
      </c>
      <c r="C154" s="704">
        <f t="shared" ref="C154:H154" si="161">H$72</f>
        <v>10</v>
      </c>
      <c r="D154" s="704">
        <f t="shared" si="161"/>
        <v>-0.15</v>
      </c>
      <c r="E154" s="704" t="str">
        <f t="shared" si="161"/>
        <v>-</v>
      </c>
      <c r="F154" s="704" t="str">
        <f t="shared" si="161"/>
        <v>-</v>
      </c>
      <c r="G154" s="704">
        <f t="shared" si="161"/>
        <v>0</v>
      </c>
      <c r="H154" s="704">
        <f t="shared" si="161"/>
        <v>0.43</v>
      </c>
      <c r="I154" s="1466"/>
      <c r="K154" s="1467"/>
      <c r="L154" s="832">
        <v>13</v>
      </c>
      <c r="M154" s="704">
        <f t="shared" ref="M154:R154" si="162">H$77</f>
        <v>250</v>
      </c>
      <c r="N154" s="704">
        <f t="shared" si="162"/>
        <v>0.09</v>
      </c>
      <c r="O154" s="704" t="str">
        <f t="shared" si="162"/>
        <v>-</v>
      </c>
      <c r="P154" s="704" t="str">
        <f t="shared" si="162"/>
        <v>-</v>
      </c>
      <c r="Q154" s="704">
        <f t="shared" si="162"/>
        <v>0</v>
      </c>
      <c r="R154" s="704">
        <f t="shared" si="162"/>
        <v>0.43</v>
      </c>
      <c r="S154" s="1466"/>
    </row>
    <row r="155" spans="1:19" hidden="1" x14ac:dyDescent="0.2">
      <c r="A155" s="1485"/>
      <c r="B155" s="832">
        <v>14</v>
      </c>
      <c r="C155" s="704">
        <f t="shared" ref="C155:H155" si="163">O$58</f>
        <v>0</v>
      </c>
      <c r="D155" s="704" t="str">
        <f t="shared" si="163"/>
        <v>-</v>
      </c>
      <c r="E155" s="704" t="str">
        <f t="shared" si="163"/>
        <v>-</v>
      </c>
      <c r="F155" s="704" t="str">
        <f t="shared" si="163"/>
        <v>-</v>
      </c>
      <c r="G155" s="704">
        <f t="shared" si="163"/>
        <v>0</v>
      </c>
      <c r="H155" s="704">
        <f t="shared" si="163"/>
        <v>0.02</v>
      </c>
      <c r="I155" s="702">
        <v>5</v>
      </c>
      <c r="K155" s="1467"/>
      <c r="L155" s="832">
        <v>14</v>
      </c>
      <c r="M155" s="704">
        <f t="shared" ref="M155:R155" si="164">O$63</f>
        <v>0</v>
      </c>
      <c r="N155" s="704" t="str">
        <f t="shared" si="164"/>
        <v>-</v>
      </c>
      <c r="O155" s="704" t="str">
        <f t="shared" si="164"/>
        <v>-</v>
      </c>
      <c r="P155" s="704" t="str">
        <f t="shared" si="164"/>
        <v>-</v>
      </c>
      <c r="Q155" s="704">
        <f t="shared" si="164"/>
        <v>0</v>
      </c>
      <c r="R155" s="704">
        <f t="shared" si="164"/>
        <v>0.02</v>
      </c>
      <c r="S155" s="702">
        <v>5</v>
      </c>
    </row>
    <row r="156" spans="1:19" hidden="1" x14ac:dyDescent="0.2">
      <c r="A156" s="1485"/>
      <c r="B156" s="832">
        <v>15</v>
      </c>
      <c r="C156" s="704">
        <f t="shared" ref="C156:H156" si="165">V$58</f>
        <v>10</v>
      </c>
      <c r="D156" s="704">
        <f t="shared" si="165"/>
        <v>-0.03</v>
      </c>
      <c r="E156" s="704">
        <f t="shared" si="165"/>
        <v>-0.16</v>
      </c>
      <c r="F156" s="704" t="str">
        <f t="shared" si="165"/>
        <v>-</v>
      </c>
      <c r="G156" s="704">
        <f t="shared" si="165"/>
        <v>6.5000000000000002E-2</v>
      </c>
      <c r="H156" s="704">
        <f t="shared" si="165"/>
        <v>0.1</v>
      </c>
      <c r="I156" s="1466">
        <v>6</v>
      </c>
      <c r="K156" s="1467"/>
      <c r="L156" s="832">
        <v>15</v>
      </c>
      <c r="M156" s="704">
        <f t="shared" ref="M156:R156" si="166">V$63</f>
        <v>250</v>
      </c>
      <c r="N156" s="704">
        <f t="shared" si="166"/>
        <v>0.12</v>
      </c>
      <c r="O156" s="704">
        <f t="shared" si="166"/>
        <v>-7.0000000000000007E-2</v>
      </c>
      <c r="P156" s="704" t="str">
        <f t="shared" si="166"/>
        <v>-</v>
      </c>
      <c r="Q156" s="704">
        <f t="shared" si="166"/>
        <v>9.5000000000000001E-2</v>
      </c>
      <c r="R156" s="704">
        <f t="shared" si="166"/>
        <v>0.1</v>
      </c>
      <c r="S156" s="1466">
        <v>6</v>
      </c>
    </row>
    <row r="157" spans="1:19" hidden="1" x14ac:dyDescent="0.2">
      <c r="A157" s="1485"/>
      <c r="B157" s="832">
        <v>16</v>
      </c>
      <c r="C157" s="704">
        <f t="shared" ref="C157:H157" si="167">V$72</f>
        <v>10</v>
      </c>
      <c r="D157" s="704">
        <f t="shared" si="167"/>
        <v>-0.02</v>
      </c>
      <c r="E157" s="704">
        <f t="shared" si="167"/>
        <v>-0.02</v>
      </c>
      <c r="F157" s="704" t="str">
        <f t="shared" si="167"/>
        <v>-</v>
      </c>
      <c r="G157" s="704">
        <f t="shared" si="167"/>
        <v>0</v>
      </c>
      <c r="H157" s="704">
        <f t="shared" si="167"/>
        <v>0.21</v>
      </c>
      <c r="I157" s="1466"/>
      <c r="K157" s="1467"/>
      <c r="L157" s="832">
        <v>16</v>
      </c>
      <c r="M157" s="704">
        <f t="shared" ref="M157:R157" si="168">V$77</f>
        <v>250</v>
      </c>
      <c r="N157" s="704">
        <f t="shared" si="168"/>
        <v>0.11</v>
      </c>
      <c r="O157" s="704">
        <f t="shared" si="168"/>
        <v>0.08</v>
      </c>
      <c r="P157" s="704" t="str">
        <f t="shared" si="168"/>
        <v>-</v>
      </c>
      <c r="Q157" s="704">
        <f t="shared" si="168"/>
        <v>1.4999999999999999E-2</v>
      </c>
      <c r="R157" s="704">
        <f t="shared" si="168"/>
        <v>0.21</v>
      </c>
      <c r="S157" s="1466"/>
    </row>
    <row r="158" spans="1:19" hidden="1" x14ac:dyDescent="0.2">
      <c r="A158" s="1485"/>
      <c r="B158" s="832">
        <v>17</v>
      </c>
      <c r="C158" s="704">
        <f t="shared" ref="C158:H158" si="169">AC$58</f>
        <v>10</v>
      </c>
      <c r="D158" s="704">
        <f t="shared" si="169"/>
        <v>-0.1</v>
      </c>
      <c r="E158" s="704">
        <f t="shared" si="169"/>
        <v>9.9999999999999995E-7</v>
      </c>
      <c r="F158" s="704" t="str">
        <f t="shared" si="169"/>
        <v>-</v>
      </c>
      <c r="G158" s="704">
        <f t="shared" si="169"/>
        <v>5.0000500000000003E-2</v>
      </c>
      <c r="H158" s="704">
        <f t="shared" si="169"/>
        <v>0.18</v>
      </c>
      <c r="I158" s="1466"/>
      <c r="K158" s="1467"/>
      <c r="L158" s="832">
        <v>17</v>
      </c>
      <c r="M158" s="704">
        <f t="shared" ref="M158:R158" si="170">AC$63</f>
        <v>250</v>
      </c>
      <c r="N158" s="704">
        <f t="shared" si="170"/>
        <v>0.02</v>
      </c>
      <c r="O158" s="704">
        <f t="shared" si="170"/>
        <v>9.9999999999999995E-7</v>
      </c>
      <c r="P158" s="704" t="str">
        <f t="shared" si="170"/>
        <v>-</v>
      </c>
      <c r="Q158" s="704">
        <f t="shared" si="170"/>
        <v>9.9994999999999997E-3</v>
      </c>
      <c r="R158" s="704">
        <f t="shared" si="170"/>
        <v>0.18</v>
      </c>
      <c r="S158" s="1466"/>
    </row>
    <row r="159" spans="1:19" hidden="1" x14ac:dyDescent="0.2">
      <c r="A159" s="1485"/>
      <c r="B159" s="832">
        <v>18</v>
      </c>
      <c r="C159" s="704">
        <f t="shared" ref="C159:H159" si="171">AC$72</f>
        <v>10</v>
      </c>
      <c r="D159" s="704">
        <f t="shared" si="171"/>
        <v>0.01</v>
      </c>
      <c r="E159" s="704">
        <f t="shared" si="171"/>
        <v>-0.04</v>
      </c>
      <c r="F159" s="704" t="str">
        <f t="shared" si="171"/>
        <v>-</v>
      </c>
      <c r="G159" s="704">
        <f t="shared" si="171"/>
        <v>2.5000000000000001E-2</v>
      </c>
      <c r="H159" s="704">
        <f t="shared" si="171"/>
        <v>0.19</v>
      </c>
      <c r="I159" s="1466"/>
      <c r="K159" s="1467"/>
      <c r="L159" s="832">
        <v>18</v>
      </c>
      <c r="M159" s="704">
        <f t="shared" ref="M159:R159" si="172">AC$77</f>
        <v>250</v>
      </c>
      <c r="N159" s="704">
        <f t="shared" si="172"/>
        <v>0.04</v>
      </c>
      <c r="O159" s="704">
        <f t="shared" si="172"/>
        <v>0.02</v>
      </c>
      <c r="P159" s="704" t="str">
        <f t="shared" si="172"/>
        <v>-</v>
      </c>
      <c r="Q159" s="704">
        <f t="shared" si="172"/>
        <v>0.01</v>
      </c>
      <c r="R159" s="704">
        <f t="shared" si="172"/>
        <v>0.19</v>
      </c>
      <c r="S159" s="1466"/>
    </row>
    <row r="160" spans="1:19" hidden="1" x14ac:dyDescent="0.2">
      <c r="A160" s="1485"/>
      <c r="B160" s="832">
        <v>19</v>
      </c>
      <c r="C160" s="704">
        <f t="shared" ref="C160:H160" si="173">AJ$7</f>
        <v>10</v>
      </c>
      <c r="D160" s="704">
        <f t="shared" si="173"/>
        <v>-5.0000000000000711E-2</v>
      </c>
      <c r="E160" s="704">
        <f t="shared" si="173"/>
        <v>-0.04</v>
      </c>
      <c r="F160" s="704" t="str">
        <f t="shared" si="173"/>
        <v>-</v>
      </c>
      <c r="G160" s="704">
        <f t="shared" si="173"/>
        <v>5.0000000000003549E-3</v>
      </c>
      <c r="H160" s="704">
        <f t="shared" si="173"/>
        <v>0.52</v>
      </c>
      <c r="I160" s="1466">
        <v>7</v>
      </c>
      <c r="K160" s="1467"/>
      <c r="L160" s="832">
        <v>19</v>
      </c>
      <c r="M160" s="704">
        <f t="shared" ref="M160:R160" si="174">AJ$12</f>
        <v>250</v>
      </c>
      <c r="N160" s="704">
        <f t="shared" si="174"/>
        <v>-0.65999999999999659</v>
      </c>
      <c r="O160" s="704">
        <f t="shared" si="174"/>
        <v>0.05</v>
      </c>
      <c r="P160" s="704" t="str">
        <f t="shared" si="174"/>
        <v>-</v>
      </c>
      <c r="Q160" s="704">
        <f t="shared" si="174"/>
        <v>0.35499999999999832</v>
      </c>
      <c r="R160" s="704">
        <f t="shared" si="174"/>
        <v>0.52</v>
      </c>
      <c r="S160" s="1466">
        <v>7</v>
      </c>
    </row>
    <row r="161" spans="1:19" hidden="1" x14ac:dyDescent="0.2">
      <c r="A161" s="1485"/>
      <c r="B161" s="832">
        <v>20</v>
      </c>
      <c r="C161" s="704">
        <f t="shared" ref="C161:H161" si="175">AJ$21</f>
        <v>10</v>
      </c>
      <c r="D161" s="704">
        <f t="shared" si="175"/>
        <v>-8.0000000000000071E-2</v>
      </c>
      <c r="E161" s="704">
        <f t="shared" si="175"/>
        <v>-0.05</v>
      </c>
      <c r="F161" s="704" t="str">
        <f t="shared" si="175"/>
        <v>-</v>
      </c>
      <c r="G161" s="704">
        <f t="shared" si="175"/>
        <v>1.5000000000000034E-2</v>
      </c>
      <c r="H161" s="704">
        <f t="shared" si="175"/>
        <v>0.54</v>
      </c>
      <c r="I161" s="1466"/>
      <c r="K161" s="1467"/>
      <c r="L161" s="832">
        <v>20</v>
      </c>
      <c r="M161" s="704">
        <f t="shared" ref="M161:R161" si="176">AJ$26</f>
        <v>250</v>
      </c>
      <c r="N161" s="704">
        <f t="shared" si="176"/>
        <v>-0.40999999999999659</v>
      </c>
      <c r="O161" s="704">
        <f t="shared" si="176"/>
        <v>0.01</v>
      </c>
      <c r="P161" s="704" t="str">
        <f t="shared" si="176"/>
        <v>-</v>
      </c>
      <c r="Q161" s="704">
        <f t="shared" si="176"/>
        <v>0.2099999999999983</v>
      </c>
      <c r="R161" s="704">
        <f t="shared" si="176"/>
        <v>0.54</v>
      </c>
      <c r="S161" s="1466"/>
    </row>
    <row r="162" spans="1:19" hidden="1" x14ac:dyDescent="0.2">
      <c r="A162" s="1485"/>
      <c r="B162" s="832">
        <v>21</v>
      </c>
      <c r="C162" s="704">
        <f t="shared" ref="C162:H162" si="177">AQ$7</f>
        <v>10</v>
      </c>
      <c r="D162" s="704">
        <f t="shared" si="177"/>
        <v>-0.14000000000000057</v>
      </c>
      <c r="E162" s="704">
        <f t="shared" si="177"/>
        <v>0.01</v>
      </c>
      <c r="F162" s="704" t="str">
        <f t="shared" si="177"/>
        <v>-</v>
      </c>
      <c r="G162" s="704">
        <f t="shared" si="177"/>
        <v>7.5000000000000289E-2</v>
      </c>
      <c r="H162" s="704">
        <f t="shared" si="177"/>
        <v>0.62</v>
      </c>
      <c r="I162" s="1466"/>
      <c r="K162" s="1467"/>
      <c r="L162" s="832">
        <v>21</v>
      </c>
      <c r="M162" s="704">
        <f t="shared" ref="M162:R162" si="178">AQ$12</f>
        <v>250</v>
      </c>
      <c r="N162" s="704">
        <f t="shared" si="178"/>
        <v>-0.37000000000000455</v>
      </c>
      <c r="O162" s="704">
        <f t="shared" si="178"/>
        <v>7.0000000000000007E-2</v>
      </c>
      <c r="P162" s="704" t="str">
        <f t="shared" si="178"/>
        <v>-</v>
      </c>
      <c r="Q162" s="704">
        <f t="shared" si="178"/>
        <v>0.22000000000000228</v>
      </c>
      <c r="R162" s="704">
        <f t="shared" si="178"/>
        <v>0.62</v>
      </c>
      <c r="S162" s="1466"/>
    </row>
    <row r="163" spans="1:19" hidden="1" x14ac:dyDescent="0.2">
      <c r="A163" s="1485"/>
      <c r="B163" s="832">
        <v>22</v>
      </c>
      <c r="C163" s="704">
        <f t="shared" ref="C163:H163" si="179">AQ$21</f>
        <v>10</v>
      </c>
      <c r="D163" s="704">
        <f t="shared" si="179"/>
        <v>-8.0000000000000071E-2</v>
      </c>
      <c r="E163" s="704">
        <f t="shared" si="179"/>
        <v>-0.02</v>
      </c>
      <c r="F163" s="704" t="str">
        <f t="shared" si="179"/>
        <v>-</v>
      </c>
      <c r="G163" s="704">
        <f t="shared" si="179"/>
        <v>3.0000000000000034E-2</v>
      </c>
      <c r="H163" s="704">
        <f t="shared" si="179"/>
        <v>0.27</v>
      </c>
      <c r="I163" s="1466"/>
      <c r="K163" s="1467"/>
      <c r="L163" s="832">
        <v>22</v>
      </c>
      <c r="M163" s="704">
        <f t="shared" ref="M163:R163" si="180">AQ$26</f>
        <v>250</v>
      </c>
      <c r="N163" s="704">
        <f t="shared" si="180"/>
        <v>9.9999999999909051E-3</v>
      </c>
      <c r="O163" s="704">
        <f t="shared" si="180"/>
        <v>0.05</v>
      </c>
      <c r="P163" s="704" t="str">
        <f t="shared" si="180"/>
        <v>-</v>
      </c>
      <c r="Q163" s="704">
        <f t="shared" si="180"/>
        <v>2.0000000000004549E-2</v>
      </c>
      <c r="R163" s="704">
        <f t="shared" si="180"/>
        <v>0.27</v>
      </c>
      <c r="S163" s="1466"/>
    </row>
    <row r="164" spans="1:19" hidden="1" x14ac:dyDescent="0.2">
      <c r="A164" s="1485"/>
      <c r="B164" s="832">
        <v>23</v>
      </c>
      <c r="C164" s="704">
        <f t="shared" ref="C164:H164" si="181">AJ$58</f>
        <v>10</v>
      </c>
      <c r="D164" s="704">
        <f t="shared" si="181"/>
        <v>-0.10999999999999943</v>
      </c>
      <c r="E164" s="704">
        <f t="shared" si="181"/>
        <v>-0.02</v>
      </c>
      <c r="F164" s="704" t="str">
        <f t="shared" si="181"/>
        <v>-</v>
      </c>
      <c r="G164" s="704">
        <f t="shared" si="181"/>
        <v>4.4999999999999714E-2</v>
      </c>
      <c r="H164" s="704">
        <f t="shared" si="181"/>
        <v>0.65</v>
      </c>
      <c r="I164" s="1466">
        <v>8</v>
      </c>
      <c r="K164" s="1467"/>
      <c r="L164" s="832">
        <v>23</v>
      </c>
      <c r="M164" s="704">
        <f t="shared" ref="M164:R164" si="182">AJ$63</f>
        <v>250</v>
      </c>
      <c r="N164" s="704">
        <f t="shared" si="182"/>
        <v>-0.50999999999999091</v>
      </c>
      <c r="O164" s="704">
        <f t="shared" si="182"/>
        <v>9.9999999999999995E-7</v>
      </c>
      <c r="P164" s="704" t="str">
        <f t="shared" si="182"/>
        <v>-</v>
      </c>
      <c r="Q164" s="704">
        <f t="shared" si="182"/>
        <v>0.25500049999999547</v>
      </c>
      <c r="R164" s="704">
        <f t="shared" si="182"/>
        <v>0.65</v>
      </c>
      <c r="S164" s="1466">
        <v>8</v>
      </c>
    </row>
    <row r="165" spans="1:19" hidden="1" x14ac:dyDescent="0.2">
      <c r="A165" s="1485"/>
      <c r="B165" s="832">
        <v>24</v>
      </c>
      <c r="C165" s="704">
        <f t="shared" ref="C165:H165" si="183">AJ$72</f>
        <v>10</v>
      </c>
      <c r="D165" s="704">
        <f t="shared" si="183"/>
        <v>-0.60999999999999943</v>
      </c>
      <c r="E165" s="704">
        <f t="shared" si="183"/>
        <v>0.04</v>
      </c>
      <c r="F165" s="704" t="str">
        <f t="shared" si="183"/>
        <v>-</v>
      </c>
      <c r="G165" s="704">
        <f t="shared" si="183"/>
        <v>0.32499999999999973</v>
      </c>
      <c r="H165" s="704">
        <f t="shared" si="183"/>
        <v>0.38</v>
      </c>
      <c r="I165" s="1466"/>
      <c r="K165" s="1467"/>
      <c r="L165" s="832">
        <v>24</v>
      </c>
      <c r="M165" s="704">
        <f t="shared" ref="M165:R165" si="184">AJ$77</f>
        <v>250</v>
      </c>
      <c r="N165" s="704">
        <f t="shared" si="184"/>
        <v>-0.97999999999998977</v>
      </c>
      <c r="O165" s="704">
        <f t="shared" si="184"/>
        <v>-0.02</v>
      </c>
      <c r="P165" s="704" t="str">
        <f t="shared" si="184"/>
        <v>-</v>
      </c>
      <c r="Q165" s="704">
        <f t="shared" si="184"/>
        <v>0.47999999999999488</v>
      </c>
      <c r="R165" s="704">
        <f t="shared" si="184"/>
        <v>0.38</v>
      </c>
      <c r="S165" s="1466"/>
    </row>
    <row r="166" spans="1:19" hidden="1" x14ac:dyDescent="0.2">
      <c r="A166" s="1485"/>
      <c r="B166" s="832">
        <v>25</v>
      </c>
      <c r="C166" s="704">
        <f t="shared" ref="C166:H166" si="185">AQ$58</f>
        <v>10</v>
      </c>
      <c r="D166" s="704">
        <f t="shared" si="185"/>
        <v>-0.5</v>
      </c>
      <c r="E166" s="704">
        <f t="shared" si="185"/>
        <v>-0.06</v>
      </c>
      <c r="F166" s="704" t="str">
        <f t="shared" si="185"/>
        <v>-</v>
      </c>
      <c r="G166" s="704">
        <f t="shared" si="185"/>
        <v>0.22</v>
      </c>
      <c r="H166" s="704">
        <f t="shared" si="185"/>
        <v>0.57999999999999996</v>
      </c>
      <c r="I166" s="1466"/>
      <c r="K166" s="1467"/>
      <c r="L166" s="832">
        <v>25</v>
      </c>
      <c r="M166" s="704">
        <f t="shared" ref="M166:R166" si="186">AQ$63</f>
        <v>250</v>
      </c>
      <c r="N166" s="704">
        <f t="shared" si="186"/>
        <v>-0.71999999999999886</v>
      </c>
      <c r="O166" s="704">
        <f t="shared" si="186"/>
        <v>0.03</v>
      </c>
      <c r="P166" s="704" t="str">
        <f t="shared" si="186"/>
        <v>-</v>
      </c>
      <c r="Q166" s="704">
        <f t="shared" si="186"/>
        <v>0.37499999999999944</v>
      </c>
      <c r="R166" s="704">
        <f t="shared" si="186"/>
        <v>0.57999999999999996</v>
      </c>
      <c r="S166" s="1466"/>
    </row>
    <row r="167" spans="1:19" hidden="1" x14ac:dyDescent="0.2">
      <c r="A167" s="1485"/>
      <c r="B167" s="832">
        <v>26</v>
      </c>
      <c r="C167" s="704">
        <f t="shared" ref="C167:H167" si="187">AQ$72</f>
        <v>10</v>
      </c>
      <c r="D167" s="704">
        <f t="shared" si="187"/>
        <v>-0.35999999999999943</v>
      </c>
      <c r="E167" s="704">
        <f t="shared" si="187"/>
        <v>-0.11</v>
      </c>
      <c r="F167" s="704" t="str">
        <f t="shared" si="187"/>
        <v>-</v>
      </c>
      <c r="G167" s="704">
        <f t="shared" si="187"/>
        <v>0.12499999999999972</v>
      </c>
      <c r="H167" s="704">
        <f t="shared" si="187"/>
        <v>0.39</v>
      </c>
      <c r="I167" s="1466"/>
      <c r="K167" s="1467"/>
      <c r="L167" s="832">
        <v>26</v>
      </c>
      <c r="M167" s="704">
        <f t="shared" ref="M167:R167" si="188">AQ$77</f>
        <v>250</v>
      </c>
      <c r="N167" s="704">
        <f t="shared" si="188"/>
        <v>-0.96999999999999886</v>
      </c>
      <c r="O167" s="704">
        <f t="shared" si="188"/>
        <v>0.03</v>
      </c>
      <c r="P167" s="704" t="str">
        <f t="shared" si="188"/>
        <v>-</v>
      </c>
      <c r="Q167" s="704">
        <f t="shared" si="188"/>
        <v>0.49999999999999944</v>
      </c>
      <c r="R167" s="704">
        <f t="shared" si="188"/>
        <v>0.39</v>
      </c>
      <c r="S167" s="1466"/>
    </row>
    <row r="168" spans="1:19" hidden="1" x14ac:dyDescent="0.2">
      <c r="A168" s="1485"/>
      <c r="B168" s="832">
        <v>27</v>
      </c>
      <c r="C168" s="704">
        <f t="shared" ref="C168:H168" si="189">AX$7</f>
        <v>10</v>
      </c>
      <c r="D168" s="704">
        <f t="shared" si="189"/>
        <v>-0.14000000000000001</v>
      </c>
      <c r="E168" s="704" t="str">
        <f t="shared" si="189"/>
        <v>-</v>
      </c>
      <c r="F168" s="704" t="str">
        <f t="shared" si="189"/>
        <v>-</v>
      </c>
      <c r="G168" s="704">
        <f t="shared" si="189"/>
        <v>0</v>
      </c>
      <c r="H168" s="704">
        <f t="shared" si="189"/>
        <v>0.57999999999999996</v>
      </c>
      <c r="I168" s="1466">
        <v>9</v>
      </c>
      <c r="K168" s="1467"/>
      <c r="L168" s="832">
        <v>27</v>
      </c>
      <c r="M168" s="704">
        <f t="shared" ref="M168:R168" si="190">AX$12</f>
        <v>250</v>
      </c>
      <c r="N168" s="704">
        <f t="shared" si="190"/>
        <v>-2.0000000000010232E-2</v>
      </c>
      <c r="O168" s="704" t="str">
        <f t="shared" si="190"/>
        <v>-</v>
      </c>
      <c r="P168" s="704" t="str">
        <f t="shared" si="190"/>
        <v>-</v>
      </c>
      <c r="Q168" s="704">
        <f t="shared" si="190"/>
        <v>0</v>
      </c>
      <c r="R168" s="704">
        <f t="shared" si="190"/>
        <v>0.57999999999999996</v>
      </c>
      <c r="S168" s="1466">
        <v>9</v>
      </c>
    </row>
    <row r="169" spans="1:19" hidden="1" x14ac:dyDescent="0.2">
      <c r="A169" s="1485"/>
      <c r="B169" s="832">
        <v>28</v>
      </c>
      <c r="C169" s="704">
        <f t="shared" ref="C169:H169" si="191">AX$21</f>
        <v>10</v>
      </c>
      <c r="D169" s="704">
        <f t="shared" si="191"/>
        <v>-0.75</v>
      </c>
      <c r="E169" s="704" t="str">
        <f t="shared" si="191"/>
        <v>-</v>
      </c>
      <c r="F169" s="704" t="str">
        <f t="shared" si="191"/>
        <v>-</v>
      </c>
      <c r="G169" s="704">
        <f t="shared" si="191"/>
        <v>0</v>
      </c>
      <c r="H169" s="704">
        <f t="shared" si="191"/>
        <v>0.65</v>
      </c>
      <c r="I169" s="1466"/>
      <c r="K169" s="1467"/>
      <c r="L169" s="832">
        <v>28</v>
      </c>
      <c r="M169" s="704">
        <f t="shared" ref="M169:R169" si="192">AX$26</f>
        <v>250</v>
      </c>
      <c r="N169" s="704">
        <f t="shared" si="192"/>
        <v>-0.46999999999999886</v>
      </c>
      <c r="O169" s="704" t="str">
        <f t="shared" si="192"/>
        <v>-</v>
      </c>
      <c r="P169" s="704" t="str">
        <f t="shared" si="192"/>
        <v>-</v>
      </c>
      <c r="Q169" s="704">
        <f t="shared" si="192"/>
        <v>0</v>
      </c>
      <c r="R169" s="704">
        <f t="shared" si="192"/>
        <v>0.65</v>
      </c>
      <c r="S169" s="1466"/>
    </row>
    <row r="170" spans="1:19" hidden="1" x14ac:dyDescent="0.2">
      <c r="A170" s="1485"/>
      <c r="B170" s="832">
        <v>29</v>
      </c>
      <c r="C170" s="704">
        <f t="shared" ref="C170:H170" si="193">BE$7</f>
        <v>10</v>
      </c>
      <c r="D170" s="704">
        <f t="shared" si="193"/>
        <v>-7.0000000000000284E-2</v>
      </c>
      <c r="E170" s="704" t="str">
        <f t="shared" si="193"/>
        <v>-</v>
      </c>
      <c r="F170" s="704" t="str">
        <f t="shared" si="193"/>
        <v>-</v>
      </c>
      <c r="G170" s="704">
        <f t="shared" si="193"/>
        <v>0</v>
      </c>
      <c r="H170" s="704">
        <f t="shared" si="193"/>
        <v>0.37</v>
      </c>
      <c r="I170" s="1466"/>
      <c r="K170" s="1467"/>
      <c r="L170" s="832">
        <v>29</v>
      </c>
      <c r="M170" s="704">
        <f t="shared" ref="M170:R170" si="194">BE$12</f>
        <v>250</v>
      </c>
      <c r="N170" s="704">
        <f t="shared" si="194"/>
        <v>-0.46000000000000796</v>
      </c>
      <c r="O170" s="704" t="str">
        <f t="shared" si="194"/>
        <v>-</v>
      </c>
      <c r="P170" s="704" t="str">
        <f t="shared" si="194"/>
        <v>-</v>
      </c>
      <c r="Q170" s="704">
        <f t="shared" si="194"/>
        <v>0</v>
      </c>
      <c r="R170" s="704">
        <f t="shared" si="194"/>
        <v>0.37</v>
      </c>
      <c r="S170" s="1466"/>
    </row>
    <row r="171" spans="1:19" hidden="1" x14ac:dyDescent="0.2">
      <c r="A171" s="1485"/>
      <c r="B171" s="832">
        <v>30</v>
      </c>
      <c r="C171" s="704">
        <f t="shared" ref="C171:H171" si="195">BE$21</f>
        <v>10</v>
      </c>
      <c r="D171" s="704">
        <f t="shared" si="195"/>
        <v>-0.32000000000000028</v>
      </c>
      <c r="E171" s="704" t="str">
        <f t="shared" si="195"/>
        <v>-</v>
      </c>
      <c r="F171" s="704" t="str">
        <f t="shared" si="195"/>
        <v>-</v>
      </c>
      <c r="G171" s="704">
        <f t="shared" si="195"/>
        <v>0</v>
      </c>
      <c r="H171" s="704">
        <f t="shared" si="195"/>
        <v>0.74</v>
      </c>
      <c r="I171" s="1466"/>
      <c r="K171" s="1467"/>
      <c r="L171" s="832">
        <v>30</v>
      </c>
      <c r="M171" s="704">
        <f t="shared" ref="M171:R171" si="196">BE$26</f>
        <v>250</v>
      </c>
      <c r="N171" s="704">
        <f t="shared" si="196"/>
        <v>-0.40999999999999659</v>
      </c>
      <c r="O171" s="704" t="str">
        <f t="shared" si="196"/>
        <v>-</v>
      </c>
      <c r="P171" s="704" t="str">
        <f t="shared" si="196"/>
        <v>-</v>
      </c>
      <c r="Q171" s="704">
        <f t="shared" si="196"/>
        <v>0</v>
      </c>
      <c r="R171" s="704">
        <f t="shared" si="196"/>
        <v>0.74</v>
      </c>
      <c r="S171" s="1466"/>
    </row>
    <row r="172" spans="1:19" hidden="1" x14ac:dyDescent="0.2">
      <c r="A172" s="1485"/>
      <c r="B172" s="832">
        <v>31</v>
      </c>
      <c r="C172" s="704">
        <f t="shared" ref="C172:H172" si="197">AX$58</f>
        <v>5</v>
      </c>
      <c r="D172" s="704" t="str">
        <f t="shared" si="197"/>
        <v>-</v>
      </c>
      <c r="E172" s="704" t="str">
        <f t="shared" si="197"/>
        <v>-</v>
      </c>
      <c r="F172" s="704" t="str">
        <f t="shared" si="197"/>
        <v>-</v>
      </c>
      <c r="G172" s="704">
        <f t="shared" si="197"/>
        <v>0</v>
      </c>
      <c r="H172" s="704">
        <f t="shared" si="197"/>
        <v>0</v>
      </c>
      <c r="I172" s="1466">
        <v>10</v>
      </c>
      <c r="K172" s="1467"/>
      <c r="L172" s="832">
        <v>31</v>
      </c>
      <c r="M172" s="704">
        <f t="shared" ref="M172:R172" si="198">AX$63</f>
        <v>200</v>
      </c>
      <c r="N172" s="704" t="str">
        <f t="shared" si="198"/>
        <v>-</v>
      </c>
      <c r="O172" s="704" t="str">
        <f t="shared" si="198"/>
        <v>-</v>
      </c>
      <c r="P172" s="704" t="str">
        <f t="shared" si="198"/>
        <v>-</v>
      </c>
      <c r="Q172" s="704">
        <f t="shared" si="198"/>
        <v>0</v>
      </c>
      <c r="R172" s="704">
        <f t="shared" si="198"/>
        <v>0</v>
      </c>
      <c r="S172" s="1466">
        <v>10</v>
      </c>
    </row>
    <row r="173" spans="1:19" hidden="1" x14ac:dyDescent="0.2">
      <c r="A173" s="1485"/>
      <c r="B173" s="832">
        <v>32</v>
      </c>
      <c r="C173" s="704">
        <f t="shared" ref="C173:H173" si="199">AX$72</f>
        <v>5</v>
      </c>
      <c r="D173" s="704" t="str">
        <f t="shared" si="199"/>
        <v>-</v>
      </c>
      <c r="E173" s="704" t="str">
        <f t="shared" si="199"/>
        <v>-</v>
      </c>
      <c r="F173" s="704" t="str">
        <f t="shared" si="199"/>
        <v>-</v>
      </c>
      <c r="G173" s="704">
        <f t="shared" si="199"/>
        <v>0</v>
      </c>
      <c r="H173" s="704">
        <f t="shared" si="199"/>
        <v>0</v>
      </c>
      <c r="I173" s="1466"/>
      <c r="K173" s="1467"/>
      <c r="L173" s="832">
        <v>32</v>
      </c>
      <c r="M173" s="704">
        <f t="shared" ref="M173:R173" si="200">AX$77</f>
        <v>200</v>
      </c>
      <c r="N173" s="704" t="str">
        <f t="shared" si="200"/>
        <v>-</v>
      </c>
      <c r="O173" s="704" t="str">
        <f t="shared" si="200"/>
        <v>-</v>
      </c>
      <c r="P173" s="704" t="str">
        <f t="shared" si="200"/>
        <v>-</v>
      </c>
      <c r="Q173" s="704">
        <f t="shared" si="200"/>
        <v>0</v>
      </c>
      <c r="R173" s="704">
        <f t="shared" si="200"/>
        <v>0</v>
      </c>
      <c r="S173" s="1466"/>
    </row>
    <row r="174" spans="1:19" hidden="1" x14ac:dyDescent="0.2">
      <c r="A174" s="1485"/>
      <c r="B174" s="832">
        <v>33</v>
      </c>
      <c r="C174" s="704">
        <f t="shared" ref="C174:H174" si="201">BE$58</f>
        <v>5</v>
      </c>
      <c r="D174" s="704" t="str">
        <f t="shared" si="201"/>
        <v>-</v>
      </c>
      <c r="E174" s="704" t="str">
        <f t="shared" si="201"/>
        <v>-</v>
      </c>
      <c r="F174" s="704" t="str">
        <f t="shared" si="201"/>
        <v>-</v>
      </c>
      <c r="G174" s="704">
        <f t="shared" si="201"/>
        <v>0</v>
      </c>
      <c r="H174" s="704">
        <f t="shared" si="201"/>
        <v>0</v>
      </c>
      <c r="I174" s="1466"/>
      <c r="K174" s="1467"/>
      <c r="L174" s="832">
        <v>33</v>
      </c>
      <c r="M174" s="704">
        <f t="shared" ref="M174:R174" si="202">BE$63</f>
        <v>200</v>
      </c>
      <c r="N174" s="704" t="str">
        <f t="shared" si="202"/>
        <v>-</v>
      </c>
      <c r="O174" s="704" t="str">
        <f t="shared" si="202"/>
        <v>-</v>
      </c>
      <c r="P174" s="704" t="str">
        <f t="shared" si="202"/>
        <v>-</v>
      </c>
      <c r="Q174" s="704">
        <f t="shared" si="202"/>
        <v>0</v>
      </c>
      <c r="R174" s="704">
        <f t="shared" si="202"/>
        <v>0</v>
      </c>
      <c r="S174" s="1466"/>
    </row>
    <row r="175" spans="1:19" hidden="1" x14ac:dyDescent="0.2">
      <c r="A175" s="1485"/>
      <c r="B175" s="832">
        <v>34</v>
      </c>
      <c r="C175" s="704">
        <f t="shared" ref="C175:H175" si="203">BE$72</f>
        <v>5</v>
      </c>
      <c r="D175" s="704" t="str">
        <f t="shared" si="203"/>
        <v>-</v>
      </c>
      <c r="E175" s="704" t="str">
        <f t="shared" si="203"/>
        <v>-</v>
      </c>
      <c r="F175" s="704" t="str">
        <f t="shared" si="203"/>
        <v>-</v>
      </c>
      <c r="G175" s="704">
        <f t="shared" si="203"/>
        <v>0</v>
      </c>
      <c r="H175" s="704">
        <f t="shared" si="203"/>
        <v>0</v>
      </c>
      <c r="I175" s="1466"/>
      <c r="K175" s="1467"/>
      <c r="L175" s="832">
        <v>34</v>
      </c>
      <c r="M175" s="704">
        <f t="shared" ref="M175:R175" si="204">BE$77</f>
        <v>200</v>
      </c>
      <c r="N175" s="704" t="str">
        <f t="shared" si="204"/>
        <v>-</v>
      </c>
      <c r="O175" s="704" t="str">
        <f t="shared" si="204"/>
        <v>-</v>
      </c>
      <c r="P175" s="704" t="str">
        <f t="shared" si="204"/>
        <v>-</v>
      </c>
      <c r="Q175" s="704">
        <f t="shared" si="204"/>
        <v>0</v>
      </c>
      <c r="R175" s="704">
        <f t="shared" si="204"/>
        <v>0</v>
      </c>
      <c r="S175" s="1466"/>
    </row>
    <row r="176" spans="1:19" hidden="1" x14ac:dyDescent="0.2">
      <c r="A176" s="533"/>
      <c r="B176" s="833"/>
      <c r="C176" s="459"/>
      <c r="D176" s="459"/>
      <c r="E176" s="459"/>
      <c r="G176" s="459"/>
      <c r="H176" s="459"/>
      <c r="I176" s="836"/>
      <c r="K176" s="532"/>
      <c r="L176" s="835"/>
      <c r="M176" s="453"/>
      <c r="N176" s="453"/>
      <c r="O176" s="453"/>
      <c r="P176" s="453"/>
      <c r="Q176" s="453"/>
      <c r="R176" s="453"/>
      <c r="S176" s="601"/>
    </row>
    <row r="177" spans="1:19" hidden="1" x14ac:dyDescent="0.2">
      <c r="A177" s="1485" t="s">
        <v>53</v>
      </c>
      <c r="B177" s="832">
        <v>1</v>
      </c>
      <c r="C177" s="704">
        <f>A$8</f>
        <v>50</v>
      </c>
      <c r="D177" s="704">
        <f t="shared" ref="D177:F177" si="205">B$8</f>
        <v>9.9999999999999995E-7</v>
      </c>
      <c r="E177" s="704">
        <f t="shared" si="205"/>
        <v>-0.25</v>
      </c>
      <c r="F177" s="704" t="str">
        <f t="shared" si="205"/>
        <v>-</v>
      </c>
      <c r="G177" s="704">
        <f>E$8</f>
        <v>0.12500049999999999</v>
      </c>
      <c r="H177" s="704">
        <f>F$8</f>
        <v>0.19</v>
      </c>
      <c r="I177" s="1466">
        <v>1</v>
      </c>
      <c r="K177" s="1467" t="s">
        <v>422</v>
      </c>
      <c r="L177" s="832">
        <v>1</v>
      </c>
      <c r="M177" s="704">
        <f t="shared" ref="M177:R177" si="206">A$13</f>
        <v>300</v>
      </c>
      <c r="N177" s="704">
        <f t="shared" si="206"/>
        <v>0.06</v>
      </c>
      <c r="O177" s="704">
        <f t="shared" si="206"/>
        <v>0.05</v>
      </c>
      <c r="P177" s="704" t="str">
        <f t="shared" si="206"/>
        <v>-</v>
      </c>
      <c r="Q177" s="704">
        <f t="shared" si="206"/>
        <v>4.9999999999999975E-3</v>
      </c>
      <c r="R177" s="704">
        <f t="shared" si="206"/>
        <v>0.19</v>
      </c>
      <c r="S177" s="1466">
        <v>1</v>
      </c>
    </row>
    <row r="178" spans="1:19" hidden="1" x14ac:dyDescent="0.2">
      <c r="A178" s="1485"/>
      <c r="B178" s="832">
        <v>2</v>
      </c>
      <c r="C178" s="704">
        <f>A$22</f>
        <v>50</v>
      </c>
      <c r="D178" s="704">
        <f t="shared" ref="D178:F178" si="207">B$22</f>
        <v>0.1</v>
      </c>
      <c r="E178" s="704">
        <f t="shared" si="207"/>
        <v>0.05</v>
      </c>
      <c r="F178" s="704" t="str">
        <f t="shared" si="207"/>
        <v>-</v>
      </c>
      <c r="G178" s="704">
        <f>E$22</f>
        <v>2.5000000000000001E-2</v>
      </c>
      <c r="H178" s="704">
        <f>F$22</f>
        <v>0.41</v>
      </c>
      <c r="I178" s="1466"/>
      <c r="K178" s="1467"/>
      <c r="L178" s="832">
        <v>2</v>
      </c>
      <c r="M178" s="704">
        <f t="shared" ref="M178:R178" si="208">A$27</f>
        <v>300</v>
      </c>
      <c r="N178" s="704">
        <f t="shared" si="208"/>
        <v>7.0000000000000007E-2</v>
      </c>
      <c r="O178" s="704">
        <f t="shared" si="208"/>
        <v>0.09</v>
      </c>
      <c r="P178" s="704" t="str">
        <f t="shared" si="208"/>
        <v>-</v>
      </c>
      <c r="Q178" s="704">
        <f t="shared" si="208"/>
        <v>9.999999999999995E-3</v>
      </c>
      <c r="R178" s="704">
        <f t="shared" si="208"/>
        <v>0.41</v>
      </c>
      <c r="S178" s="1466"/>
    </row>
    <row r="179" spans="1:19" hidden="1" x14ac:dyDescent="0.2">
      <c r="A179" s="1485"/>
      <c r="B179" s="832">
        <v>3</v>
      </c>
      <c r="C179" s="704">
        <f t="shared" ref="C179:H179" si="209">H$8</f>
        <v>50</v>
      </c>
      <c r="D179" s="704">
        <f t="shared" si="209"/>
        <v>-0.11</v>
      </c>
      <c r="E179" s="704">
        <f t="shared" si="209"/>
        <v>-0.05</v>
      </c>
      <c r="F179" s="704" t="str">
        <f t="shared" si="209"/>
        <v>-</v>
      </c>
      <c r="G179" s="704">
        <f t="shared" si="209"/>
        <v>0.03</v>
      </c>
      <c r="H179" s="704">
        <f t="shared" si="209"/>
        <v>0.32</v>
      </c>
      <c r="I179" s="1466"/>
      <c r="K179" s="1467"/>
      <c r="L179" s="832">
        <v>3</v>
      </c>
      <c r="M179" s="704">
        <f t="shared" ref="M179:R179" si="210">H$13</f>
        <v>300</v>
      </c>
      <c r="N179" s="704">
        <f t="shared" si="210"/>
        <v>0.16</v>
      </c>
      <c r="O179" s="704">
        <f t="shared" si="210"/>
        <v>0.08</v>
      </c>
      <c r="P179" s="704" t="str">
        <f t="shared" si="210"/>
        <v>-</v>
      </c>
      <c r="Q179" s="704">
        <f t="shared" si="210"/>
        <v>0.04</v>
      </c>
      <c r="R179" s="704">
        <f t="shared" si="210"/>
        <v>0.32</v>
      </c>
      <c r="S179" s="1466"/>
    </row>
    <row r="180" spans="1:19" hidden="1" x14ac:dyDescent="0.2">
      <c r="A180" s="1485"/>
      <c r="B180" s="832">
        <v>4</v>
      </c>
      <c r="C180" s="704">
        <f t="shared" ref="C180:H180" si="211">H$22</f>
        <v>50</v>
      </c>
      <c r="D180" s="704">
        <f t="shared" si="211"/>
        <v>-0.06</v>
      </c>
      <c r="E180" s="704">
        <f t="shared" si="211"/>
        <v>-0.12</v>
      </c>
      <c r="F180" s="704" t="str">
        <f t="shared" si="211"/>
        <v>-</v>
      </c>
      <c r="G180" s="704">
        <f t="shared" si="211"/>
        <v>0.03</v>
      </c>
      <c r="H180" s="704">
        <f t="shared" si="211"/>
        <v>0.28999999999999998</v>
      </c>
      <c r="I180" s="1466"/>
      <c r="K180" s="1467"/>
      <c r="L180" s="832">
        <v>4</v>
      </c>
      <c r="M180" s="704">
        <f t="shared" ref="M180:R180" si="212">H$27</f>
        <v>300</v>
      </c>
      <c r="N180" s="704">
        <f t="shared" si="212"/>
        <v>0.06</v>
      </c>
      <c r="O180" s="704">
        <f t="shared" si="212"/>
        <v>0.11</v>
      </c>
      <c r="P180" s="704" t="str">
        <f t="shared" si="212"/>
        <v>-</v>
      </c>
      <c r="Q180" s="704">
        <f t="shared" si="212"/>
        <v>2.5000000000000001E-2</v>
      </c>
      <c r="R180" s="704">
        <f t="shared" si="212"/>
        <v>0.28999999999999998</v>
      </c>
      <c r="S180" s="1466"/>
    </row>
    <row r="181" spans="1:19" hidden="1" x14ac:dyDescent="0.2">
      <c r="A181" s="1485"/>
      <c r="B181" s="832">
        <v>5</v>
      </c>
      <c r="C181" s="704">
        <f t="shared" ref="C181:H181" si="213">O$8</f>
        <v>50</v>
      </c>
      <c r="D181" s="704">
        <f t="shared" si="213"/>
        <v>-2.0000000000003126E-2</v>
      </c>
      <c r="E181" s="704">
        <f t="shared" si="213"/>
        <v>-0.02</v>
      </c>
      <c r="F181" s="704">
        <f t="shared" si="213"/>
        <v>0.38</v>
      </c>
      <c r="G181" s="704">
        <f t="shared" si="213"/>
        <v>0.20000000000000157</v>
      </c>
      <c r="H181" s="704">
        <f t="shared" si="213"/>
        <v>0.71</v>
      </c>
      <c r="I181" s="702">
        <v>2</v>
      </c>
      <c r="K181" s="1467"/>
      <c r="L181" s="832">
        <v>5</v>
      </c>
      <c r="M181" s="704">
        <f t="shared" ref="M181:R181" si="214">O$13</f>
        <v>300</v>
      </c>
      <c r="N181" s="704">
        <f t="shared" si="214"/>
        <v>-0.51999999999998181</v>
      </c>
      <c r="O181" s="704">
        <f t="shared" si="214"/>
        <v>0.02</v>
      </c>
      <c r="P181" s="704">
        <f t="shared" si="214"/>
        <v>0.02</v>
      </c>
      <c r="Q181" s="704">
        <f t="shared" si="214"/>
        <v>0.26999999999999091</v>
      </c>
      <c r="R181" s="704">
        <f t="shared" si="214"/>
        <v>0.71</v>
      </c>
      <c r="S181" s="702">
        <v>2</v>
      </c>
    </row>
    <row r="182" spans="1:19" hidden="1" x14ac:dyDescent="0.2">
      <c r="A182" s="1485"/>
      <c r="B182" s="832">
        <v>6</v>
      </c>
      <c r="C182" s="704">
        <f t="shared" ref="C182:H182" si="215">V$8</f>
        <v>50</v>
      </c>
      <c r="D182" s="704">
        <f t="shared" si="215"/>
        <v>3.0000000000001137E-2</v>
      </c>
      <c r="E182" s="704">
        <f t="shared" si="215"/>
        <v>-0.15</v>
      </c>
      <c r="F182" s="704">
        <f t="shared" si="215"/>
        <v>7.0000000000000007E-2</v>
      </c>
      <c r="G182" s="704">
        <f t="shared" si="215"/>
        <v>0.11</v>
      </c>
      <c r="H182" s="704">
        <f t="shared" si="215"/>
        <v>0.11</v>
      </c>
      <c r="I182" s="1466">
        <v>3</v>
      </c>
      <c r="K182" s="1467"/>
      <c r="L182" s="832">
        <v>6</v>
      </c>
      <c r="M182" s="704">
        <f t="shared" ref="M182:R182" si="216">V$13</f>
        <v>300</v>
      </c>
      <c r="N182" s="704">
        <f t="shared" si="216"/>
        <v>1.999999999998181E-2</v>
      </c>
      <c r="O182" s="704">
        <f t="shared" si="216"/>
        <v>-0.1</v>
      </c>
      <c r="P182" s="704">
        <f t="shared" si="216"/>
        <v>0.61</v>
      </c>
      <c r="Q182" s="704">
        <f t="shared" si="216"/>
        <v>0.35499999999999998</v>
      </c>
      <c r="R182" s="704">
        <f t="shared" si="216"/>
        <v>0.11</v>
      </c>
      <c r="S182" s="1466">
        <v>3</v>
      </c>
    </row>
    <row r="183" spans="1:19" hidden="1" x14ac:dyDescent="0.2">
      <c r="A183" s="1485"/>
      <c r="B183" s="832">
        <v>7</v>
      </c>
      <c r="C183" s="704">
        <f t="shared" ref="C183:H183" si="217">V$22</f>
        <v>50</v>
      </c>
      <c r="D183" s="704">
        <f t="shared" si="217"/>
        <v>0.13000000000000256</v>
      </c>
      <c r="E183" s="704">
        <f t="shared" si="217"/>
        <v>0.01</v>
      </c>
      <c r="F183" s="704">
        <f t="shared" si="217"/>
        <v>0.08</v>
      </c>
      <c r="G183" s="704">
        <f t="shared" si="217"/>
        <v>6.0000000000001281E-2</v>
      </c>
      <c r="H183" s="704">
        <f t="shared" si="217"/>
        <v>0.33</v>
      </c>
      <c r="I183" s="1466"/>
      <c r="K183" s="1467"/>
      <c r="L183" s="832">
        <v>7</v>
      </c>
      <c r="M183" s="704">
        <f t="shared" ref="M183:R183" si="218">V$27</f>
        <v>300</v>
      </c>
      <c r="N183" s="704">
        <f t="shared" si="218"/>
        <v>4.0000000000020464E-2</v>
      </c>
      <c r="O183" s="704">
        <f t="shared" si="218"/>
        <v>0.01</v>
      </c>
      <c r="P183" s="704">
        <f t="shared" si="218"/>
        <v>0.5</v>
      </c>
      <c r="Q183" s="704">
        <f t="shared" si="218"/>
        <v>0.245</v>
      </c>
      <c r="R183" s="704">
        <f t="shared" si="218"/>
        <v>0.33</v>
      </c>
      <c r="S183" s="1466"/>
    </row>
    <row r="184" spans="1:19" hidden="1" x14ac:dyDescent="0.2">
      <c r="A184" s="1485"/>
      <c r="B184" s="832">
        <v>8</v>
      </c>
      <c r="C184" s="704">
        <f t="shared" ref="C184:H184" si="219">AC$8</f>
        <v>50</v>
      </c>
      <c r="D184" s="704">
        <f t="shared" si="219"/>
        <v>9.0000000000003411E-2</v>
      </c>
      <c r="E184" s="704">
        <f t="shared" si="219"/>
        <v>0.01</v>
      </c>
      <c r="F184" s="704">
        <f t="shared" si="219"/>
        <v>7.0000000000000007E-2</v>
      </c>
      <c r="G184" s="704">
        <f t="shared" si="219"/>
        <v>4.0000000000001708E-2</v>
      </c>
      <c r="H184" s="704">
        <f t="shared" si="219"/>
        <v>0.3</v>
      </c>
      <c r="I184" s="1466"/>
      <c r="K184" s="1467"/>
      <c r="L184" s="832">
        <v>8</v>
      </c>
      <c r="M184" s="704">
        <f t="shared" ref="M184:R184" si="220">AC$13</f>
        <v>300</v>
      </c>
      <c r="N184" s="704">
        <f t="shared" si="220"/>
        <v>2.9999999999972715E-2</v>
      </c>
      <c r="O184" s="704">
        <f t="shared" si="220"/>
        <v>0.02</v>
      </c>
      <c r="P184" s="704">
        <f t="shared" si="220"/>
        <v>0.61</v>
      </c>
      <c r="Q184" s="704">
        <f t="shared" si="220"/>
        <v>0.29499999999999998</v>
      </c>
      <c r="R184" s="704">
        <f t="shared" si="220"/>
        <v>0.3</v>
      </c>
      <c r="S184" s="1466"/>
    </row>
    <row r="185" spans="1:19" hidden="1" x14ac:dyDescent="0.2">
      <c r="A185" s="1485"/>
      <c r="B185" s="832">
        <v>9</v>
      </c>
      <c r="C185" s="704">
        <f t="shared" ref="C185:H185" si="221">AC$22</f>
        <v>50</v>
      </c>
      <c r="D185" s="704">
        <f t="shared" si="221"/>
        <v>9.9999999999980105E-3</v>
      </c>
      <c r="E185" s="704">
        <f t="shared" si="221"/>
        <v>0.01</v>
      </c>
      <c r="F185" s="704">
        <f t="shared" si="221"/>
        <v>0.08</v>
      </c>
      <c r="G185" s="704">
        <f t="shared" si="221"/>
        <v>3.5000000000000996E-2</v>
      </c>
      <c r="H185" s="704">
        <f t="shared" si="221"/>
        <v>0.14000000000000001</v>
      </c>
      <c r="I185" s="1466"/>
      <c r="K185" s="1467"/>
      <c r="L185" s="832">
        <v>9</v>
      </c>
      <c r="M185" s="704">
        <f t="shared" ref="M185:R185" si="222">AC$27</f>
        <v>300</v>
      </c>
      <c r="N185" s="704">
        <f t="shared" si="222"/>
        <v>9.9999999999909051E-3</v>
      </c>
      <c r="O185" s="704">
        <f t="shared" si="222"/>
        <v>0.01</v>
      </c>
      <c r="P185" s="704">
        <f t="shared" si="222"/>
        <v>0.61</v>
      </c>
      <c r="Q185" s="704">
        <f t="shared" si="222"/>
        <v>0.30000000000000454</v>
      </c>
      <c r="R185" s="704">
        <f t="shared" si="222"/>
        <v>0.14000000000000001</v>
      </c>
      <c r="S185" s="1466"/>
    </row>
    <row r="186" spans="1:19" hidden="1" x14ac:dyDescent="0.2">
      <c r="A186" s="1485"/>
      <c r="B186" s="832">
        <v>10</v>
      </c>
      <c r="C186" s="704">
        <f>A$59</f>
        <v>50</v>
      </c>
      <c r="D186" s="704">
        <f t="shared" ref="D186:F186" si="223">B$59</f>
        <v>-7.0000000000000007E-2</v>
      </c>
      <c r="E186" s="704" t="str">
        <f t="shared" si="223"/>
        <v>-</v>
      </c>
      <c r="F186" s="704" t="str">
        <f t="shared" si="223"/>
        <v>-</v>
      </c>
      <c r="G186" s="704">
        <f>E$59</f>
        <v>0</v>
      </c>
      <c r="H186" s="704">
        <f>F$59</f>
        <v>0.32</v>
      </c>
      <c r="I186" s="1466">
        <v>4</v>
      </c>
      <c r="K186" s="1467"/>
      <c r="L186" s="832">
        <v>10</v>
      </c>
      <c r="M186" s="704">
        <f t="shared" ref="M186:R186" si="224">A$64</f>
        <v>300</v>
      </c>
      <c r="N186" s="704">
        <f t="shared" si="224"/>
        <v>-0.09</v>
      </c>
      <c r="O186" s="704" t="str">
        <f t="shared" si="224"/>
        <v>-</v>
      </c>
      <c r="P186" s="704" t="str">
        <f t="shared" si="224"/>
        <v>-</v>
      </c>
      <c r="Q186" s="704">
        <f t="shared" si="224"/>
        <v>0</v>
      </c>
      <c r="R186" s="704">
        <f t="shared" si="224"/>
        <v>0.32</v>
      </c>
      <c r="S186" s="1466">
        <v>4</v>
      </c>
    </row>
    <row r="187" spans="1:19" hidden="1" x14ac:dyDescent="0.2">
      <c r="A187" s="1485"/>
      <c r="B187" s="832">
        <v>11</v>
      </c>
      <c r="C187" s="704">
        <f>A$73</f>
        <v>50</v>
      </c>
      <c r="D187" s="704">
        <f t="shared" ref="D187:F187" si="225">B$73</f>
        <v>-0.03</v>
      </c>
      <c r="E187" s="704" t="str">
        <f t="shared" si="225"/>
        <v>-</v>
      </c>
      <c r="F187" s="704" t="str">
        <f t="shared" si="225"/>
        <v>-</v>
      </c>
      <c r="G187" s="704">
        <f>E$73</f>
        <v>0</v>
      </c>
      <c r="H187" s="704">
        <f>F$73</f>
        <v>0.23</v>
      </c>
      <c r="I187" s="1466"/>
      <c r="K187" s="1467"/>
      <c r="L187" s="832">
        <v>11</v>
      </c>
      <c r="M187" s="704">
        <f t="shared" ref="M187:R187" si="226">A$78</f>
        <v>300</v>
      </c>
      <c r="N187" s="704">
        <f t="shared" si="226"/>
        <v>0.12</v>
      </c>
      <c r="O187" s="704" t="str">
        <f t="shared" si="226"/>
        <v>-</v>
      </c>
      <c r="P187" s="704" t="str">
        <f t="shared" si="226"/>
        <v>-</v>
      </c>
      <c r="Q187" s="704">
        <f t="shared" si="226"/>
        <v>0</v>
      </c>
      <c r="R187" s="704">
        <f t="shared" si="226"/>
        <v>0.23</v>
      </c>
      <c r="S187" s="1466"/>
    </row>
    <row r="188" spans="1:19" hidden="1" x14ac:dyDescent="0.2">
      <c r="A188" s="1485"/>
      <c r="B188" s="832">
        <v>12</v>
      </c>
      <c r="C188" s="704">
        <f t="shared" ref="C188:H188" si="227">H$59</f>
        <v>50</v>
      </c>
      <c r="D188" s="704">
        <f t="shared" si="227"/>
        <v>-0.11</v>
      </c>
      <c r="E188" s="704" t="str">
        <f t="shared" si="227"/>
        <v>-</v>
      </c>
      <c r="F188" s="704" t="str">
        <f t="shared" si="227"/>
        <v>-</v>
      </c>
      <c r="G188" s="704">
        <f t="shared" si="227"/>
        <v>0</v>
      </c>
      <c r="H188" s="704">
        <f t="shared" si="227"/>
        <v>0.48</v>
      </c>
      <c r="I188" s="1466"/>
      <c r="K188" s="1467"/>
      <c r="L188" s="832">
        <v>12</v>
      </c>
      <c r="M188" s="704">
        <f t="shared" ref="M188:R188" si="228">H$64</f>
        <v>300</v>
      </c>
      <c r="N188" s="704">
        <f t="shared" si="228"/>
        <v>0.03</v>
      </c>
      <c r="O188" s="704" t="str">
        <f t="shared" si="228"/>
        <v>-</v>
      </c>
      <c r="P188" s="704" t="str">
        <f t="shared" si="228"/>
        <v>-</v>
      </c>
      <c r="Q188" s="704">
        <f t="shared" si="228"/>
        <v>0</v>
      </c>
      <c r="R188" s="704">
        <f t="shared" si="228"/>
        <v>0.48</v>
      </c>
      <c r="S188" s="1466"/>
    </row>
    <row r="189" spans="1:19" hidden="1" x14ac:dyDescent="0.2">
      <c r="A189" s="1485"/>
      <c r="B189" s="832">
        <v>13</v>
      </c>
      <c r="C189" s="704">
        <f t="shared" ref="C189:H189" si="229">H$73</f>
        <v>50</v>
      </c>
      <c r="D189" s="704">
        <f t="shared" si="229"/>
        <v>-0.11</v>
      </c>
      <c r="E189" s="704" t="str">
        <f t="shared" si="229"/>
        <v>-</v>
      </c>
      <c r="F189" s="704" t="str">
        <f t="shared" si="229"/>
        <v>-</v>
      </c>
      <c r="G189" s="704">
        <f t="shared" si="229"/>
        <v>0</v>
      </c>
      <c r="H189" s="704">
        <f t="shared" si="229"/>
        <v>0.43</v>
      </c>
      <c r="I189" s="1466"/>
      <c r="K189" s="1467"/>
      <c r="L189" s="832">
        <v>13</v>
      </c>
      <c r="M189" s="704">
        <f t="shared" ref="M189:R189" si="230">H$78</f>
        <v>300</v>
      </c>
      <c r="N189" s="704">
        <f t="shared" si="230"/>
        <v>0.14000000000000001</v>
      </c>
      <c r="O189" s="704" t="str">
        <f t="shared" si="230"/>
        <v>-</v>
      </c>
      <c r="P189" s="704" t="str">
        <f t="shared" si="230"/>
        <v>-</v>
      </c>
      <c r="Q189" s="704">
        <f t="shared" si="230"/>
        <v>0</v>
      </c>
      <c r="R189" s="704">
        <f t="shared" si="230"/>
        <v>0.43</v>
      </c>
      <c r="S189" s="1466"/>
    </row>
    <row r="190" spans="1:19" hidden="1" x14ac:dyDescent="0.2">
      <c r="A190" s="1485"/>
      <c r="B190" s="832">
        <v>14</v>
      </c>
      <c r="C190" s="704">
        <f t="shared" ref="C190:H190" si="231">O$59</f>
        <v>0</v>
      </c>
      <c r="D190" s="704" t="str">
        <f t="shared" si="231"/>
        <v>-</v>
      </c>
      <c r="E190" s="704" t="str">
        <f t="shared" si="231"/>
        <v>-</v>
      </c>
      <c r="F190" s="704" t="str">
        <f t="shared" si="231"/>
        <v>-</v>
      </c>
      <c r="G190" s="704">
        <f t="shared" si="231"/>
        <v>0</v>
      </c>
      <c r="H190" s="704">
        <f t="shared" si="231"/>
        <v>0.02</v>
      </c>
      <c r="I190" s="702">
        <v>5</v>
      </c>
      <c r="K190" s="1467"/>
      <c r="L190" s="832">
        <v>14</v>
      </c>
      <c r="M190" s="704">
        <f t="shared" ref="M190:R190" si="232">O$64</f>
        <v>0</v>
      </c>
      <c r="N190" s="704" t="str">
        <f t="shared" si="232"/>
        <v>-</v>
      </c>
      <c r="O190" s="704" t="str">
        <f t="shared" si="232"/>
        <v>-</v>
      </c>
      <c r="P190" s="704" t="str">
        <f t="shared" si="232"/>
        <v>-</v>
      </c>
      <c r="Q190" s="704">
        <f t="shared" si="232"/>
        <v>0</v>
      </c>
      <c r="R190" s="704">
        <f t="shared" si="232"/>
        <v>0.02</v>
      </c>
      <c r="S190" s="702">
        <v>5</v>
      </c>
    </row>
    <row r="191" spans="1:19" hidden="1" x14ac:dyDescent="0.2">
      <c r="A191" s="1485"/>
      <c r="B191" s="832">
        <v>15</v>
      </c>
      <c r="C191" s="704">
        <f t="shared" ref="C191:H191" si="233">V$59</f>
        <v>50</v>
      </c>
      <c r="D191" s="704">
        <f t="shared" si="233"/>
        <v>-0.01</v>
      </c>
      <c r="E191" s="704">
        <f t="shared" si="233"/>
        <v>-0.16</v>
      </c>
      <c r="F191" s="704" t="str">
        <f t="shared" si="233"/>
        <v>-</v>
      </c>
      <c r="G191" s="704">
        <f t="shared" si="233"/>
        <v>7.4999999999999997E-2</v>
      </c>
      <c r="H191" s="704">
        <f t="shared" si="233"/>
        <v>0.1</v>
      </c>
      <c r="I191" s="1466">
        <v>6</v>
      </c>
      <c r="K191" s="1467"/>
      <c r="L191" s="832">
        <v>15</v>
      </c>
      <c r="M191" s="704">
        <f t="shared" ref="M191:R191" si="234">V$64</f>
        <v>300</v>
      </c>
      <c r="N191" s="704">
        <f t="shared" si="234"/>
        <v>0.15</v>
      </c>
      <c r="O191" s="704">
        <f t="shared" si="234"/>
        <v>7.0000000000000007E-2</v>
      </c>
      <c r="P191" s="704" t="str">
        <f t="shared" si="234"/>
        <v>-</v>
      </c>
      <c r="Q191" s="704">
        <f t="shared" si="234"/>
        <v>3.9999999999999994E-2</v>
      </c>
      <c r="R191" s="704">
        <f t="shared" si="234"/>
        <v>0.1</v>
      </c>
      <c r="S191" s="1466">
        <v>6</v>
      </c>
    </row>
    <row r="192" spans="1:19" hidden="1" x14ac:dyDescent="0.2">
      <c r="A192" s="1485"/>
      <c r="B192" s="832">
        <v>16</v>
      </c>
      <c r="C192" s="704">
        <f t="shared" ref="C192:H192" si="235">V$73</f>
        <v>50</v>
      </c>
      <c r="D192" s="704">
        <f t="shared" si="235"/>
        <v>-0.01</v>
      </c>
      <c r="E192" s="704">
        <f t="shared" si="235"/>
        <v>-0.02</v>
      </c>
      <c r="F192" s="704" t="str">
        <f t="shared" si="235"/>
        <v>-</v>
      </c>
      <c r="G192" s="704">
        <f t="shared" si="235"/>
        <v>5.0000000000000001E-3</v>
      </c>
      <c r="H192" s="704">
        <f t="shared" si="235"/>
        <v>0.21</v>
      </c>
      <c r="I192" s="1466"/>
      <c r="K192" s="1467"/>
      <c r="L192" s="832">
        <v>16</v>
      </c>
      <c r="M192" s="704">
        <f t="shared" ref="M192:R192" si="236">V$78</f>
        <v>300</v>
      </c>
      <c r="N192" s="704">
        <f t="shared" si="236"/>
        <v>0.14000000000000001</v>
      </c>
      <c r="O192" s="704">
        <f t="shared" si="236"/>
        <v>0.23</v>
      </c>
      <c r="P192" s="704" t="str">
        <f t="shared" si="236"/>
        <v>-</v>
      </c>
      <c r="Q192" s="704">
        <f t="shared" si="236"/>
        <v>4.4999999999999998E-2</v>
      </c>
      <c r="R192" s="704">
        <f t="shared" si="236"/>
        <v>0.21</v>
      </c>
      <c r="S192" s="1466"/>
    </row>
    <row r="193" spans="1:19" hidden="1" x14ac:dyDescent="0.2">
      <c r="A193" s="1485"/>
      <c r="B193" s="832">
        <v>17</v>
      </c>
      <c r="C193" s="704">
        <f t="shared" ref="C193:H193" si="237">AC$59</f>
        <v>50</v>
      </c>
      <c r="D193" s="704">
        <f t="shared" si="237"/>
        <v>-0.08</v>
      </c>
      <c r="E193" s="704">
        <f t="shared" si="237"/>
        <v>9.9999999999999995E-7</v>
      </c>
      <c r="F193" s="704" t="str">
        <f t="shared" si="237"/>
        <v>-</v>
      </c>
      <c r="G193" s="704">
        <f t="shared" si="237"/>
        <v>4.0000500000000001E-2</v>
      </c>
      <c r="H193" s="704">
        <f t="shared" si="237"/>
        <v>0.18</v>
      </c>
      <c r="I193" s="1466"/>
      <c r="K193" s="1467"/>
      <c r="L193" s="832">
        <v>17</v>
      </c>
      <c r="M193" s="704">
        <f t="shared" ref="M193:R193" si="238">AC$64</f>
        <v>300</v>
      </c>
      <c r="N193" s="704">
        <f t="shared" si="238"/>
        <v>0.05</v>
      </c>
      <c r="O193" s="704">
        <f t="shared" si="238"/>
        <v>0.01</v>
      </c>
      <c r="P193" s="704" t="str">
        <f t="shared" si="238"/>
        <v>-</v>
      </c>
      <c r="Q193" s="704">
        <f t="shared" si="238"/>
        <v>0.02</v>
      </c>
      <c r="R193" s="704">
        <f t="shared" si="238"/>
        <v>0.18</v>
      </c>
      <c r="S193" s="1466"/>
    </row>
    <row r="194" spans="1:19" hidden="1" x14ac:dyDescent="0.2">
      <c r="A194" s="1485"/>
      <c r="B194" s="832">
        <v>18</v>
      </c>
      <c r="C194" s="704">
        <f t="shared" ref="C194:H194" si="239">AC$73</f>
        <v>50</v>
      </c>
      <c r="D194" s="704">
        <f t="shared" si="239"/>
        <v>0.01</v>
      </c>
      <c r="E194" s="704">
        <f t="shared" si="239"/>
        <v>-0.04</v>
      </c>
      <c r="F194" s="704" t="str">
        <f t="shared" si="239"/>
        <v>-</v>
      </c>
      <c r="G194" s="704">
        <f t="shared" si="239"/>
        <v>2.5000000000000001E-2</v>
      </c>
      <c r="H194" s="704">
        <f t="shared" si="239"/>
        <v>0.19</v>
      </c>
      <c r="I194" s="1466"/>
      <c r="K194" s="1467"/>
      <c r="L194" s="832">
        <v>18</v>
      </c>
      <c r="M194" s="704">
        <f t="shared" ref="M194:R194" si="240">AC$78</f>
        <v>300</v>
      </c>
      <c r="N194" s="704">
        <f t="shared" si="240"/>
        <v>0.05</v>
      </c>
      <c r="O194" s="704">
        <f t="shared" si="240"/>
        <v>0.1</v>
      </c>
      <c r="P194" s="704" t="str">
        <f t="shared" si="240"/>
        <v>-</v>
      </c>
      <c r="Q194" s="704">
        <f t="shared" si="240"/>
        <v>2.5000000000000001E-2</v>
      </c>
      <c r="R194" s="704">
        <f t="shared" si="240"/>
        <v>0.19</v>
      </c>
      <c r="S194" s="1466"/>
    </row>
    <row r="195" spans="1:19" hidden="1" x14ac:dyDescent="0.2">
      <c r="A195" s="1485"/>
      <c r="B195" s="832">
        <v>19</v>
      </c>
      <c r="C195" s="704">
        <f t="shared" ref="C195:H195" si="241">AJ$8</f>
        <v>50</v>
      </c>
      <c r="D195" s="704">
        <f t="shared" si="241"/>
        <v>-0.14999999999999858</v>
      </c>
      <c r="E195" s="704">
        <f t="shared" si="241"/>
        <v>-0.02</v>
      </c>
      <c r="F195" s="704" t="str">
        <f t="shared" si="241"/>
        <v>-</v>
      </c>
      <c r="G195" s="704">
        <f t="shared" si="241"/>
        <v>6.4999999999999294E-2</v>
      </c>
      <c r="H195" s="704">
        <f t="shared" si="241"/>
        <v>0.52</v>
      </c>
      <c r="I195" s="1466">
        <v>7</v>
      </c>
      <c r="K195" s="1467"/>
      <c r="L195" s="832">
        <v>19</v>
      </c>
      <c r="M195" s="704">
        <f t="shared" ref="M195:R195" si="242">AJ$13</f>
        <v>300</v>
      </c>
      <c r="N195" s="704">
        <f t="shared" si="242"/>
        <v>-0.77999999999997272</v>
      </c>
      <c r="O195" s="704">
        <f t="shared" si="242"/>
        <v>7.0000000000000007E-2</v>
      </c>
      <c r="P195" s="704" t="str">
        <f t="shared" si="242"/>
        <v>-</v>
      </c>
      <c r="Q195" s="704">
        <f t="shared" si="242"/>
        <v>0.42499999999998639</v>
      </c>
      <c r="R195" s="704">
        <f t="shared" si="242"/>
        <v>0.52</v>
      </c>
      <c r="S195" s="1466">
        <v>7</v>
      </c>
    </row>
    <row r="196" spans="1:19" hidden="1" x14ac:dyDescent="0.2">
      <c r="A196" s="1485"/>
      <c r="B196" s="832">
        <v>20</v>
      </c>
      <c r="C196" s="704">
        <f t="shared" ref="C196:H196" si="243">AJ$22</f>
        <v>50</v>
      </c>
      <c r="D196" s="704">
        <f t="shared" si="243"/>
        <v>-0.13000000000000256</v>
      </c>
      <c r="E196" s="704">
        <f t="shared" si="243"/>
        <v>-0.04</v>
      </c>
      <c r="F196" s="704" t="str">
        <f t="shared" si="243"/>
        <v>-</v>
      </c>
      <c r="G196" s="704">
        <f t="shared" si="243"/>
        <v>4.5000000000001275E-2</v>
      </c>
      <c r="H196" s="704">
        <f t="shared" si="243"/>
        <v>0.54</v>
      </c>
      <c r="I196" s="1466"/>
      <c r="K196" s="1467"/>
      <c r="L196" s="832">
        <v>20</v>
      </c>
      <c r="M196" s="704">
        <f t="shared" ref="M196:R196" si="244">AJ$27</f>
        <v>300</v>
      </c>
      <c r="N196" s="704">
        <f t="shared" si="244"/>
        <v>-0.47000000000002728</v>
      </c>
      <c r="O196" s="704">
        <f t="shared" si="244"/>
        <v>0.03</v>
      </c>
      <c r="P196" s="704" t="str">
        <f t="shared" si="244"/>
        <v>-</v>
      </c>
      <c r="Q196" s="704">
        <f t="shared" si="244"/>
        <v>0.25000000000001366</v>
      </c>
      <c r="R196" s="704">
        <f t="shared" si="244"/>
        <v>0.54</v>
      </c>
      <c r="S196" s="1466"/>
    </row>
    <row r="197" spans="1:19" hidden="1" x14ac:dyDescent="0.2">
      <c r="A197" s="1485"/>
      <c r="B197" s="832">
        <v>21</v>
      </c>
      <c r="C197" s="704">
        <f t="shared" ref="C197:H197" si="245">AQ$8</f>
        <v>50</v>
      </c>
      <c r="D197" s="704">
        <f t="shared" si="245"/>
        <v>-0.17999999999999972</v>
      </c>
      <c r="E197" s="704">
        <f t="shared" si="245"/>
        <v>0.02</v>
      </c>
      <c r="F197" s="704" t="str">
        <f t="shared" si="245"/>
        <v>-</v>
      </c>
      <c r="G197" s="704">
        <f t="shared" si="245"/>
        <v>9.9999999999999853E-2</v>
      </c>
      <c r="H197" s="704">
        <f t="shared" si="245"/>
        <v>0.62</v>
      </c>
      <c r="I197" s="1466"/>
      <c r="K197" s="1467"/>
      <c r="L197" s="832">
        <v>21</v>
      </c>
      <c r="M197" s="704">
        <f t="shared" ref="M197:R197" si="246">AQ$13</f>
        <v>300</v>
      </c>
      <c r="N197" s="704">
        <f t="shared" si="246"/>
        <v>-0.42000000000001592</v>
      </c>
      <c r="O197" s="704">
        <f t="shared" si="246"/>
        <v>0.08</v>
      </c>
      <c r="P197" s="704" t="str">
        <f t="shared" si="246"/>
        <v>-</v>
      </c>
      <c r="Q197" s="704">
        <f t="shared" si="246"/>
        <v>0.25000000000000794</v>
      </c>
      <c r="R197" s="704">
        <f t="shared" si="246"/>
        <v>0.62</v>
      </c>
      <c r="S197" s="1466"/>
    </row>
    <row r="198" spans="1:19" hidden="1" x14ac:dyDescent="0.2">
      <c r="A198" s="1485"/>
      <c r="B198" s="832">
        <v>22</v>
      </c>
      <c r="C198" s="704">
        <f t="shared" ref="C198:H198" si="247">AQ$22</f>
        <v>50</v>
      </c>
      <c r="D198" s="704">
        <f t="shared" si="247"/>
        <v>-7.0000000000000284E-2</v>
      </c>
      <c r="E198" s="704">
        <f t="shared" si="247"/>
        <v>-0.01</v>
      </c>
      <c r="F198" s="704" t="str">
        <f t="shared" si="247"/>
        <v>-</v>
      </c>
      <c r="G198" s="704">
        <f t="shared" si="247"/>
        <v>3.0000000000000141E-2</v>
      </c>
      <c r="H198" s="704">
        <f t="shared" si="247"/>
        <v>0.27</v>
      </c>
      <c r="I198" s="1466"/>
      <c r="K198" s="1467"/>
      <c r="L198" s="832">
        <v>22</v>
      </c>
      <c r="M198" s="704">
        <f t="shared" ref="M198:R198" si="248">AQ$27</f>
        <v>300</v>
      </c>
      <c r="N198" s="704">
        <f t="shared" si="248"/>
        <v>2.9999999999972715E-2</v>
      </c>
      <c r="O198" s="704">
        <f t="shared" si="248"/>
        <v>0.06</v>
      </c>
      <c r="P198" s="704" t="str">
        <f t="shared" si="248"/>
        <v>-</v>
      </c>
      <c r="Q198" s="704">
        <f t="shared" si="248"/>
        <v>1.5000000000013641E-2</v>
      </c>
      <c r="R198" s="704">
        <f t="shared" si="248"/>
        <v>0.27</v>
      </c>
      <c r="S198" s="1466"/>
    </row>
    <row r="199" spans="1:19" hidden="1" x14ac:dyDescent="0.2">
      <c r="A199" s="1485"/>
      <c r="B199" s="832">
        <v>23</v>
      </c>
      <c r="C199" s="704">
        <f t="shared" ref="C199:H199" si="249">AJ$59</f>
        <v>50</v>
      </c>
      <c r="D199" s="704">
        <f t="shared" si="249"/>
        <v>-0.17999999999999972</v>
      </c>
      <c r="E199" s="704">
        <f t="shared" si="249"/>
        <v>-0.02</v>
      </c>
      <c r="F199" s="704" t="str">
        <f t="shared" si="249"/>
        <v>-</v>
      </c>
      <c r="G199" s="704">
        <f t="shared" si="249"/>
        <v>7.9999999999999863E-2</v>
      </c>
      <c r="H199" s="704">
        <f t="shared" si="249"/>
        <v>0.65</v>
      </c>
      <c r="I199" s="1466">
        <v>8</v>
      </c>
      <c r="K199" s="1467"/>
      <c r="L199" s="832">
        <v>23</v>
      </c>
      <c r="M199" s="704">
        <f t="shared" ref="M199:R199" si="250">AJ$64</f>
        <v>300</v>
      </c>
      <c r="N199" s="704">
        <f t="shared" si="250"/>
        <v>-0.58999999999997499</v>
      </c>
      <c r="O199" s="704">
        <f t="shared" si="250"/>
        <v>0.01</v>
      </c>
      <c r="P199" s="704" t="str">
        <f t="shared" si="250"/>
        <v>-</v>
      </c>
      <c r="Q199" s="704">
        <f t="shared" si="250"/>
        <v>0.2999999999999875</v>
      </c>
      <c r="R199" s="704">
        <f t="shared" si="250"/>
        <v>0.65</v>
      </c>
      <c r="S199" s="1466">
        <v>8</v>
      </c>
    </row>
    <row r="200" spans="1:19" hidden="1" x14ac:dyDescent="0.2">
      <c r="A200" s="1485"/>
      <c r="B200" s="832">
        <v>24</v>
      </c>
      <c r="C200" s="704">
        <f t="shared" ref="C200:H200" si="251">AJ$73</f>
        <v>50</v>
      </c>
      <c r="D200" s="704">
        <f t="shared" si="251"/>
        <v>-0.67000000000000171</v>
      </c>
      <c r="E200" s="704">
        <f t="shared" si="251"/>
        <v>0.03</v>
      </c>
      <c r="F200" s="704" t="str">
        <f t="shared" si="251"/>
        <v>-</v>
      </c>
      <c r="G200" s="704">
        <f t="shared" si="251"/>
        <v>0.35000000000000087</v>
      </c>
      <c r="H200" s="704">
        <f t="shared" si="251"/>
        <v>0.38</v>
      </c>
      <c r="I200" s="1466"/>
      <c r="K200" s="1467"/>
      <c r="L200" s="832">
        <v>24</v>
      </c>
      <c r="M200" s="704">
        <f t="shared" ref="M200:R200" si="252">AJ$78</f>
        <v>300</v>
      </c>
      <c r="N200" s="704">
        <f t="shared" si="252"/>
        <v>-1.0600000000000023</v>
      </c>
      <c r="O200" s="704">
        <f t="shared" si="252"/>
        <v>-0.04</v>
      </c>
      <c r="P200" s="704" t="str">
        <f t="shared" si="252"/>
        <v>-</v>
      </c>
      <c r="Q200" s="704">
        <f t="shared" si="252"/>
        <v>0.51000000000000112</v>
      </c>
      <c r="R200" s="704">
        <f t="shared" si="252"/>
        <v>0.38</v>
      </c>
      <c r="S200" s="1466"/>
    </row>
    <row r="201" spans="1:19" hidden="1" x14ac:dyDescent="0.2">
      <c r="A201" s="1485"/>
      <c r="B201" s="832">
        <v>25</v>
      </c>
      <c r="C201" s="704">
        <f t="shared" ref="C201:H201" si="253">AQ$59</f>
        <v>50</v>
      </c>
      <c r="D201" s="704">
        <f t="shared" si="253"/>
        <v>-0.53999999999999915</v>
      </c>
      <c r="E201" s="704">
        <f t="shared" si="253"/>
        <v>-0.05</v>
      </c>
      <c r="F201" s="704" t="str">
        <f t="shared" si="253"/>
        <v>-</v>
      </c>
      <c r="G201" s="704">
        <f t="shared" si="253"/>
        <v>0.24499999999999958</v>
      </c>
      <c r="H201" s="704">
        <f t="shared" si="253"/>
        <v>0.57999999999999996</v>
      </c>
      <c r="I201" s="1466"/>
      <c r="K201" s="1467"/>
      <c r="L201" s="832">
        <v>25</v>
      </c>
      <c r="M201" s="704">
        <f t="shared" ref="M201:R201" si="254">AQ$64</f>
        <v>300</v>
      </c>
      <c r="N201" s="704">
        <f t="shared" si="254"/>
        <v>-0.76999999999998181</v>
      </c>
      <c r="O201" s="704">
        <f t="shared" si="254"/>
        <v>0.06</v>
      </c>
      <c r="P201" s="704" t="str">
        <f t="shared" si="254"/>
        <v>-</v>
      </c>
      <c r="Q201" s="704">
        <f t="shared" si="254"/>
        <v>0.41499999999999093</v>
      </c>
      <c r="R201" s="704">
        <f t="shared" si="254"/>
        <v>0.57999999999999996</v>
      </c>
      <c r="S201" s="1466"/>
    </row>
    <row r="202" spans="1:19" hidden="1" x14ac:dyDescent="0.2">
      <c r="A202" s="1485"/>
      <c r="B202" s="832">
        <v>26</v>
      </c>
      <c r="C202" s="704">
        <f t="shared" ref="C202:H202" si="255">AQ$73</f>
        <v>50</v>
      </c>
      <c r="D202" s="704">
        <f t="shared" si="255"/>
        <v>-0.46000000000000085</v>
      </c>
      <c r="E202" s="704">
        <f t="shared" si="255"/>
        <v>-0.09</v>
      </c>
      <c r="F202" s="704" t="str">
        <f t="shared" si="255"/>
        <v>-</v>
      </c>
      <c r="G202" s="704">
        <f t="shared" si="255"/>
        <v>0.18500000000000044</v>
      </c>
      <c r="H202" s="704">
        <f t="shared" si="255"/>
        <v>0.39</v>
      </c>
      <c r="I202" s="1466"/>
      <c r="K202" s="1467"/>
      <c r="L202" s="832">
        <v>26</v>
      </c>
      <c r="M202" s="704">
        <f t="shared" ref="M202:R202" si="256">AQ$78</f>
        <v>300</v>
      </c>
      <c r="N202" s="704">
        <f t="shared" si="256"/>
        <v>-1.089999999999975</v>
      </c>
      <c r="O202" s="704">
        <f t="shared" si="256"/>
        <v>0.06</v>
      </c>
      <c r="P202" s="704" t="str">
        <f t="shared" si="256"/>
        <v>-</v>
      </c>
      <c r="Q202" s="704">
        <f t="shared" si="256"/>
        <v>0.57499999999998752</v>
      </c>
      <c r="R202" s="704">
        <f t="shared" si="256"/>
        <v>0.39</v>
      </c>
      <c r="S202" s="1466"/>
    </row>
    <row r="203" spans="1:19" hidden="1" x14ac:dyDescent="0.2">
      <c r="A203" s="1485"/>
      <c r="B203" s="832">
        <v>27</v>
      </c>
      <c r="C203" s="704">
        <f t="shared" ref="C203:H203" si="257">AX$8</f>
        <v>50</v>
      </c>
      <c r="D203" s="704">
        <f t="shared" si="257"/>
        <v>-0.12</v>
      </c>
      <c r="E203" s="704" t="str">
        <f t="shared" si="257"/>
        <v>-</v>
      </c>
      <c r="F203" s="704" t="str">
        <f t="shared" si="257"/>
        <v>-</v>
      </c>
      <c r="G203" s="704">
        <f t="shared" si="257"/>
        <v>0</v>
      </c>
      <c r="H203" s="704">
        <f t="shared" si="257"/>
        <v>0.57999999999999996</v>
      </c>
      <c r="I203" s="1466">
        <v>9</v>
      </c>
      <c r="K203" s="1467"/>
      <c r="L203" s="832">
        <v>27</v>
      </c>
      <c r="M203" s="704">
        <f t="shared" ref="M203:R203" si="258">AX$13</f>
        <v>300</v>
      </c>
      <c r="N203" s="704">
        <f t="shared" si="258"/>
        <v>0</v>
      </c>
      <c r="O203" s="704" t="str">
        <f t="shared" si="258"/>
        <v>-</v>
      </c>
      <c r="P203" s="704" t="str">
        <f t="shared" si="258"/>
        <v>-</v>
      </c>
      <c r="Q203" s="704">
        <f t="shared" si="258"/>
        <v>0</v>
      </c>
      <c r="R203" s="704">
        <f t="shared" si="258"/>
        <v>0.57999999999999996</v>
      </c>
      <c r="S203" s="1466">
        <v>9</v>
      </c>
    </row>
    <row r="204" spans="1:19" hidden="1" x14ac:dyDescent="0.2">
      <c r="A204" s="1485"/>
      <c r="B204" s="832">
        <v>28</v>
      </c>
      <c r="C204" s="704">
        <f t="shared" ref="C204:H204" si="259">AX$22</f>
        <v>50</v>
      </c>
      <c r="D204" s="704">
        <f t="shared" si="259"/>
        <v>-0.71000000000000085</v>
      </c>
      <c r="E204" s="704" t="str">
        <f t="shared" si="259"/>
        <v>-</v>
      </c>
      <c r="F204" s="704" t="str">
        <f t="shared" si="259"/>
        <v>-</v>
      </c>
      <c r="G204" s="704">
        <f t="shared" si="259"/>
        <v>0</v>
      </c>
      <c r="H204" s="704">
        <f t="shared" si="259"/>
        <v>0.65</v>
      </c>
      <c r="I204" s="1466"/>
      <c r="K204" s="1467"/>
      <c r="L204" s="832">
        <v>28</v>
      </c>
      <c r="M204" s="704">
        <f t="shared" ref="M204:R204" si="260">AX$27</f>
        <v>300</v>
      </c>
      <c r="N204" s="704">
        <f t="shared" si="260"/>
        <v>-0.42000000000001592</v>
      </c>
      <c r="O204" s="704" t="str">
        <f t="shared" si="260"/>
        <v>-</v>
      </c>
      <c r="P204" s="704" t="str">
        <f t="shared" si="260"/>
        <v>-</v>
      </c>
      <c r="Q204" s="704">
        <f t="shared" si="260"/>
        <v>0</v>
      </c>
      <c r="R204" s="704">
        <f t="shared" si="260"/>
        <v>0.65</v>
      </c>
      <c r="S204" s="1466"/>
    </row>
    <row r="205" spans="1:19" hidden="1" x14ac:dyDescent="0.2">
      <c r="A205" s="1485"/>
      <c r="B205" s="832">
        <v>29</v>
      </c>
      <c r="C205" s="704">
        <f t="shared" ref="C205:H205" si="261">BE$8</f>
        <v>50</v>
      </c>
      <c r="D205" s="704">
        <f t="shared" si="261"/>
        <v>-0.14000000000000057</v>
      </c>
      <c r="E205" s="704" t="str">
        <f t="shared" si="261"/>
        <v>-</v>
      </c>
      <c r="F205" s="704" t="str">
        <f t="shared" si="261"/>
        <v>-</v>
      </c>
      <c r="G205" s="704">
        <f t="shared" si="261"/>
        <v>0</v>
      </c>
      <c r="H205" s="704">
        <f t="shared" si="261"/>
        <v>0.37</v>
      </c>
      <c r="I205" s="1466"/>
      <c r="K205" s="1467"/>
      <c r="L205" s="832">
        <v>29</v>
      </c>
      <c r="M205" s="704">
        <f t="shared" ref="M205:R205" si="262">BE$13</f>
        <v>300</v>
      </c>
      <c r="N205" s="704">
        <f t="shared" si="262"/>
        <v>-0.54000000000002046</v>
      </c>
      <c r="O205" s="704" t="str">
        <f t="shared" si="262"/>
        <v>-</v>
      </c>
      <c r="P205" s="704" t="str">
        <f t="shared" si="262"/>
        <v>-</v>
      </c>
      <c r="Q205" s="704">
        <f t="shared" si="262"/>
        <v>0</v>
      </c>
      <c r="R205" s="704">
        <f t="shared" si="262"/>
        <v>0.37</v>
      </c>
      <c r="S205" s="1466"/>
    </row>
    <row r="206" spans="1:19" hidden="1" x14ac:dyDescent="0.2">
      <c r="A206" s="1485"/>
      <c r="B206" s="832">
        <v>30</v>
      </c>
      <c r="C206" s="704">
        <f t="shared" ref="C206:H206" si="263">BE$22</f>
        <v>50</v>
      </c>
      <c r="D206" s="704">
        <f t="shared" si="263"/>
        <v>-0.32999999999999829</v>
      </c>
      <c r="E206" s="704" t="str">
        <f t="shared" si="263"/>
        <v>-</v>
      </c>
      <c r="F206" s="704" t="str">
        <f t="shared" si="263"/>
        <v>-</v>
      </c>
      <c r="G206" s="704">
        <f t="shared" si="263"/>
        <v>0</v>
      </c>
      <c r="H206" s="704">
        <f t="shared" si="263"/>
        <v>0.74</v>
      </c>
      <c r="I206" s="1466"/>
      <c r="K206" s="1467"/>
      <c r="L206" s="832">
        <v>30</v>
      </c>
      <c r="M206" s="704">
        <f t="shared" ref="M206:R206" si="264">BE$27</f>
        <v>300</v>
      </c>
      <c r="N206" s="704">
        <f t="shared" si="264"/>
        <v>-0.43000000000000682</v>
      </c>
      <c r="O206" s="704" t="str">
        <f t="shared" si="264"/>
        <v>-</v>
      </c>
      <c r="P206" s="704" t="str">
        <f t="shared" si="264"/>
        <v>-</v>
      </c>
      <c r="Q206" s="704">
        <f t="shared" si="264"/>
        <v>0</v>
      </c>
      <c r="R206" s="704">
        <f t="shared" si="264"/>
        <v>0.74</v>
      </c>
      <c r="S206" s="1466"/>
    </row>
    <row r="207" spans="1:19" hidden="1" x14ac:dyDescent="0.2">
      <c r="A207" s="1485"/>
      <c r="B207" s="832">
        <v>31</v>
      </c>
      <c r="C207" s="704">
        <f t="shared" ref="C207:H207" si="265">AX$59</f>
        <v>10</v>
      </c>
      <c r="D207" s="704" t="str">
        <f t="shared" si="265"/>
        <v>-</v>
      </c>
      <c r="E207" s="704" t="str">
        <f t="shared" si="265"/>
        <v>-</v>
      </c>
      <c r="F207" s="704" t="str">
        <f t="shared" si="265"/>
        <v>-</v>
      </c>
      <c r="G207" s="704">
        <f t="shared" si="265"/>
        <v>0</v>
      </c>
      <c r="H207" s="704">
        <f t="shared" si="265"/>
        <v>0</v>
      </c>
      <c r="I207" s="1466">
        <v>10</v>
      </c>
      <c r="K207" s="1467"/>
      <c r="L207" s="832">
        <v>31</v>
      </c>
      <c r="M207" s="704">
        <f t="shared" ref="M207:R207" si="266">AX$64</f>
        <v>500</v>
      </c>
      <c r="N207" s="704" t="str">
        <f t="shared" si="266"/>
        <v>-</v>
      </c>
      <c r="O207" s="704" t="str">
        <f t="shared" si="266"/>
        <v>-</v>
      </c>
      <c r="P207" s="704" t="str">
        <f t="shared" si="266"/>
        <v>-</v>
      </c>
      <c r="Q207" s="704">
        <f t="shared" si="266"/>
        <v>0</v>
      </c>
      <c r="R207" s="704">
        <f t="shared" si="266"/>
        <v>0</v>
      </c>
      <c r="S207" s="1466">
        <v>10</v>
      </c>
    </row>
    <row r="208" spans="1:19" hidden="1" x14ac:dyDescent="0.2">
      <c r="A208" s="1485"/>
      <c r="B208" s="832">
        <v>32</v>
      </c>
      <c r="C208" s="704">
        <f t="shared" ref="C208:H208" si="267">AX$73</f>
        <v>10</v>
      </c>
      <c r="D208" s="704" t="str">
        <f t="shared" si="267"/>
        <v>-</v>
      </c>
      <c r="E208" s="704" t="str">
        <f t="shared" si="267"/>
        <v>-</v>
      </c>
      <c r="F208" s="704" t="str">
        <f t="shared" si="267"/>
        <v>-</v>
      </c>
      <c r="G208" s="704">
        <f t="shared" si="267"/>
        <v>0</v>
      </c>
      <c r="H208" s="704">
        <f t="shared" si="267"/>
        <v>0</v>
      </c>
      <c r="I208" s="1466"/>
      <c r="K208" s="1467"/>
      <c r="L208" s="832">
        <v>32</v>
      </c>
      <c r="M208" s="704">
        <f t="shared" ref="M208:R208" si="268">AX$78</f>
        <v>500</v>
      </c>
      <c r="N208" s="704" t="str">
        <f t="shared" si="268"/>
        <v>-</v>
      </c>
      <c r="O208" s="704" t="str">
        <f t="shared" si="268"/>
        <v>-</v>
      </c>
      <c r="P208" s="704" t="str">
        <f t="shared" si="268"/>
        <v>-</v>
      </c>
      <c r="Q208" s="704">
        <f t="shared" si="268"/>
        <v>0</v>
      </c>
      <c r="R208" s="704">
        <f t="shared" si="268"/>
        <v>0</v>
      </c>
      <c r="S208" s="1466"/>
    </row>
    <row r="209" spans="1:19" hidden="1" x14ac:dyDescent="0.2">
      <c r="A209" s="1485"/>
      <c r="B209" s="832">
        <v>33</v>
      </c>
      <c r="C209" s="704">
        <f t="shared" ref="C209:H209" si="269">BE$59</f>
        <v>10</v>
      </c>
      <c r="D209" s="704" t="str">
        <f t="shared" si="269"/>
        <v>-</v>
      </c>
      <c r="E209" s="704" t="str">
        <f t="shared" si="269"/>
        <v>-</v>
      </c>
      <c r="F209" s="704" t="str">
        <f t="shared" si="269"/>
        <v>-</v>
      </c>
      <c r="G209" s="704">
        <f t="shared" si="269"/>
        <v>0</v>
      </c>
      <c r="H209" s="704">
        <f t="shared" si="269"/>
        <v>0</v>
      </c>
      <c r="I209" s="1466"/>
      <c r="K209" s="1467"/>
      <c r="L209" s="832">
        <v>33</v>
      </c>
      <c r="M209" s="704">
        <f t="shared" ref="M209:R209" si="270">BE$64</f>
        <v>500</v>
      </c>
      <c r="N209" s="704" t="str">
        <f t="shared" si="270"/>
        <v>-</v>
      </c>
      <c r="O209" s="704" t="str">
        <f t="shared" si="270"/>
        <v>-</v>
      </c>
      <c r="P209" s="704" t="str">
        <f t="shared" si="270"/>
        <v>-</v>
      </c>
      <c r="Q209" s="704">
        <f t="shared" si="270"/>
        <v>0</v>
      </c>
      <c r="R209" s="704">
        <f t="shared" si="270"/>
        <v>0</v>
      </c>
      <c r="S209" s="1466"/>
    </row>
    <row r="210" spans="1:19" hidden="1" x14ac:dyDescent="0.2">
      <c r="A210" s="1485"/>
      <c r="B210" s="832">
        <v>34</v>
      </c>
      <c r="C210" s="704">
        <f t="shared" ref="C210:H210" si="271">BE$73</f>
        <v>10</v>
      </c>
      <c r="D210" s="704" t="str">
        <f t="shared" si="271"/>
        <v>-</v>
      </c>
      <c r="E210" s="704" t="str">
        <f t="shared" si="271"/>
        <v>-</v>
      </c>
      <c r="F210" s="704" t="str">
        <f t="shared" si="271"/>
        <v>-</v>
      </c>
      <c r="G210" s="704">
        <f t="shared" si="271"/>
        <v>0</v>
      </c>
      <c r="H210" s="704">
        <f t="shared" si="271"/>
        <v>0</v>
      </c>
      <c r="I210" s="1466"/>
      <c r="K210" s="1467"/>
      <c r="L210" s="832">
        <v>34</v>
      </c>
      <c r="M210" s="704">
        <f t="shared" ref="M210:R210" si="272">BE$78</f>
        <v>500</v>
      </c>
      <c r="N210" s="704" t="str">
        <f t="shared" si="272"/>
        <v>-</v>
      </c>
      <c r="O210" s="704" t="str">
        <f t="shared" si="272"/>
        <v>-</v>
      </c>
      <c r="P210" s="704" t="str">
        <f t="shared" si="272"/>
        <v>-</v>
      </c>
      <c r="Q210" s="704">
        <f t="shared" si="272"/>
        <v>0</v>
      </c>
      <c r="R210" s="704">
        <f t="shared" si="272"/>
        <v>0</v>
      </c>
      <c r="S210" s="1466"/>
    </row>
    <row r="211" spans="1:19" hidden="1" x14ac:dyDescent="0.2">
      <c r="A211" s="533"/>
      <c r="B211" s="833"/>
      <c r="C211" s="459"/>
      <c r="D211" s="459"/>
      <c r="E211" s="459"/>
      <c r="G211" s="459"/>
      <c r="H211" s="459"/>
      <c r="I211" s="834"/>
      <c r="K211" s="532"/>
      <c r="L211" s="835"/>
      <c r="M211" s="453"/>
      <c r="N211" s="453"/>
      <c r="O211" s="453"/>
      <c r="P211" s="453"/>
      <c r="Q211" s="453"/>
      <c r="R211" s="453"/>
      <c r="S211" s="601"/>
    </row>
    <row r="212" spans="1:19" hidden="1" x14ac:dyDescent="0.2">
      <c r="A212" s="1467" t="s">
        <v>54</v>
      </c>
      <c r="B212" s="832">
        <v>1</v>
      </c>
      <c r="C212" s="704">
        <f>A$9</f>
        <v>100</v>
      </c>
      <c r="D212" s="704">
        <f t="shared" ref="D212:F212" si="273">B$9</f>
        <v>0.01</v>
      </c>
      <c r="E212" s="704">
        <f t="shared" si="273"/>
        <v>-0.19</v>
      </c>
      <c r="F212" s="704" t="str">
        <f t="shared" si="273"/>
        <v>-</v>
      </c>
      <c r="G212" s="704">
        <f>E$9</f>
        <v>0.1</v>
      </c>
      <c r="H212" s="704">
        <f>F$9</f>
        <v>0.19</v>
      </c>
      <c r="I212" s="1466">
        <v>1</v>
      </c>
      <c r="K212" s="1467" t="s">
        <v>423</v>
      </c>
      <c r="L212" s="832">
        <v>1</v>
      </c>
      <c r="M212" s="704">
        <f t="shared" ref="M212:R212" si="274">A$14</f>
        <v>500</v>
      </c>
      <c r="N212" s="704">
        <f t="shared" si="274"/>
        <v>0.11</v>
      </c>
      <c r="O212" s="704">
        <f t="shared" si="274"/>
        <v>0.28999999999999998</v>
      </c>
      <c r="P212" s="704" t="str">
        <f t="shared" si="274"/>
        <v>-</v>
      </c>
      <c r="Q212" s="704">
        <f t="shared" si="274"/>
        <v>0.09</v>
      </c>
      <c r="R212" s="704">
        <f t="shared" si="274"/>
        <v>0.19</v>
      </c>
      <c r="S212" s="1466">
        <v>1</v>
      </c>
    </row>
    <row r="213" spans="1:19" hidden="1" x14ac:dyDescent="0.2">
      <c r="A213" s="1467"/>
      <c r="B213" s="832">
        <v>2</v>
      </c>
      <c r="C213" s="704">
        <f>A$23</f>
        <v>100</v>
      </c>
      <c r="D213" s="704">
        <f t="shared" ref="D213:F213" si="275">B$23</f>
        <v>0.09</v>
      </c>
      <c r="E213" s="704">
        <f t="shared" si="275"/>
        <v>0.06</v>
      </c>
      <c r="F213" s="704" t="str">
        <f t="shared" si="275"/>
        <v>-</v>
      </c>
      <c r="G213" s="704">
        <f>E$23</f>
        <v>1.4999999999999999E-2</v>
      </c>
      <c r="H213" s="704">
        <f>F$23</f>
        <v>0.41</v>
      </c>
      <c r="I213" s="1466"/>
      <c r="K213" s="1467"/>
      <c r="L213" s="832">
        <v>2</v>
      </c>
      <c r="M213" s="704">
        <f t="shared" ref="M213:R213" si="276">A$28</f>
        <v>500</v>
      </c>
      <c r="N213" s="704">
        <f t="shared" si="276"/>
        <v>0.04</v>
      </c>
      <c r="O213" s="704">
        <f t="shared" si="276"/>
        <v>0.12</v>
      </c>
      <c r="P213" s="704" t="str">
        <f t="shared" si="276"/>
        <v>-</v>
      </c>
      <c r="Q213" s="704">
        <f t="shared" si="276"/>
        <v>3.9999999999999994E-2</v>
      </c>
      <c r="R213" s="704">
        <f t="shared" si="276"/>
        <v>0.41</v>
      </c>
      <c r="S213" s="1466"/>
    </row>
    <row r="214" spans="1:19" hidden="1" x14ac:dyDescent="0.2">
      <c r="A214" s="1467"/>
      <c r="B214" s="832">
        <v>3</v>
      </c>
      <c r="C214" s="704">
        <f t="shared" ref="C214:H214" si="277">H$9</f>
        <v>100</v>
      </c>
      <c r="D214" s="704">
        <f t="shared" si="277"/>
        <v>-0.05</v>
      </c>
      <c r="E214" s="704">
        <f t="shared" si="277"/>
        <v>-0.03</v>
      </c>
      <c r="F214" s="704" t="str">
        <f t="shared" si="277"/>
        <v>-</v>
      </c>
      <c r="G214" s="704">
        <f t="shared" si="277"/>
        <v>1.0000000000000002E-2</v>
      </c>
      <c r="H214" s="704">
        <f t="shared" si="277"/>
        <v>0.32</v>
      </c>
      <c r="I214" s="1466"/>
      <c r="K214" s="1467"/>
      <c r="L214" s="832">
        <v>3</v>
      </c>
      <c r="M214" s="704">
        <f t="shared" ref="M214:R214" si="278">H$14</f>
        <v>500</v>
      </c>
      <c r="N214" s="704">
        <f t="shared" si="278"/>
        <v>0.38</v>
      </c>
      <c r="O214" s="704">
        <f t="shared" si="278"/>
        <v>0.19</v>
      </c>
      <c r="P214" s="704" t="str">
        <f t="shared" si="278"/>
        <v>-</v>
      </c>
      <c r="Q214" s="704">
        <f t="shared" si="278"/>
        <v>9.5000000000000001E-2</v>
      </c>
      <c r="R214" s="704">
        <f t="shared" si="278"/>
        <v>0.32</v>
      </c>
      <c r="S214" s="1466"/>
    </row>
    <row r="215" spans="1:19" hidden="1" x14ac:dyDescent="0.2">
      <c r="A215" s="1467"/>
      <c r="B215" s="832">
        <v>4</v>
      </c>
      <c r="C215" s="704">
        <f t="shared" ref="C215:H215" si="279">H$23</f>
        <v>100</v>
      </c>
      <c r="D215" s="704">
        <f t="shared" si="279"/>
        <v>-0.04</v>
      </c>
      <c r="E215" s="704">
        <f t="shared" si="279"/>
        <v>-0.09</v>
      </c>
      <c r="F215" s="704" t="str">
        <f t="shared" si="279"/>
        <v>-</v>
      </c>
      <c r="G215" s="704">
        <f t="shared" si="279"/>
        <v>2.4999999999999998E-2</v>
      </c>
      <c r="H215" s="704">
        <f t="shared" si="279"/>
        <v>0.28999999999999998</v>
      </c>
      <c r="I215" s="1466"/>
      <c r="K215" s="1467"/>
      <c r="L215" s="832">
        <v>4</v>
      </c>
      <c r="M215" s="704">
        <f t="shared" ref="M215:R215" si="280">H$28</f>
        <v>500</v>
      </c>
      <c r="N215" s="704">
        <f t="shared" si="280"/>
        <v>0.15</v>
      </c>
      <c r="O215" s="704">
        <f t="shared" si="280"/>
        <v>0.31</v>
      </c>
      <c r="P215" s="704" t="str">
        <f t="shared" si="280"/>
        <v>-</v>
      </c>
      <c r="Q215" s="704">
        <f t="shared" si="280"/>
        <v>0.08</v>
      </c>
      <c r="R215" s="704">
        <f t="shared" si="280"/>
        <v>0.28999999999999998</v>
      </c>
      <c r="S215" s="1466"/>
    </row>
    <row r="216" spans="1:19" hidden="1" x14ac:dyDescent="0.2">
      <c r="A216" s="1467"/>
      <c r="B216" s="832">
        <v>5</v>
      </c>
      <c r="C216" s="704">
        <f t="shared" ref="C216:H216" si="281">O$9</f>
        <v>100</v>
      </c>
      <c r="D216" s="704">
        <f t="shared" si="281"/>
        <v>-0.12000000000000455</v>
      </c>
      <c r="E216" s="704">
        <f t="shared" si="281"/>
        <v>-0.01</v>
      </c>
      <c r="F216" s="704">
        <f t="shared" si="281"/>
        <v>0.31</v>
      </c>
      <c r="G216" s="704">
        <f t="shared" si="281"/>
        <v>0.21500000000000227</v>
      </c>
      <c r="H216" s="704">
        <f t="shared" si="281"/>
        <v>0.71</v>
      </c>
      <c r="I216" s="702">
        <v>2</v>
      </c>
      <c r="K216" s="1467"/>
      <c r="L216" s="832">
        <v>5</v>
      </c>
      <c r="M216" s="704">
        <f t="shared" ref="M216:R216" si="282">O$14</f>
        <v>500</v>
      </c>
      <c r="N216" s="704">
        <f t="shared" si="282"/>
        <v>-0.92000000000001592</v>
      </c>
      <c r="O216" s="704">
        <f t="shared" si="282"/>
        <v>0.04</v>
      </c>
      <c r="P216" s="704">
        <f t="shared" si="282"/>
        <v>9.9999999999999995E-7</v>
      </c>
      <c r="Q216" s="704">
        <f t="shared" si="282"/>
        <v>0.48000000000000798</v>
      </c>
      <c r="R216" s="704">
        <f t="shared" si="282"/>
        <v>0.71</v>
      </c>
      <c r="S216" s="702">
        <v>2</v>
      </c>
    </row>
    <row r="217" spans="1:19" hidden="1" x14ac:dyDescent="0.2">
      <c r="A217" s="1467"/>
      <c r="B217" s="832">
        <v>6</v>
      </c>
      <c r="C217" s="704">
        <f t="shared" ref="C217:H217" si="283">V$9</f>
        <v>100</v>
      </c>
      <c r="D217" s="704">
        <f t="shared" si="283"/>
        <v>3.0000000000001137E-2</v>
      </c>
      <c r="E217" s="704">
        <f t="shared" si="283"/>
        <v>-0.15</v>
      </c>
      <c r="F217" s="704">
        <f t="shared" si="283"/>
        <v>9.9999999999999995E-7</v>
      </c>
      <c r="G217" s="704">
        <f t="shared" si="283"/>
        <v>9.0000000000000566E-2</v>
      </c>
      <c r="H217" s="704">
        <f t="shared" si="283"/>
        <v>0.11</v>
      </c>
      <c r="I217" s="1466">
        <v>3</v>
      </c>
      <c r="K217" s="1467"/>
      <c r="L217" s="832">
        <v>6</v>
      </c>
      <c r="M217" s="704">
        <f t="shared" ref="M217:R217" si="284">V$14</f>
        <v>500</v>
      </c>
      <c r="N217" s="704">
        <f t="shared" si="284"/>
        <v>9.9999999999909051E-3</v>
      </c>
      <c r="O217" s="704">
        <f t="shared" si="284"/>
        <v>-0.1</v>
      </c>
      <c r="P217" s="704">
        <f t="shared" si="284"/>
        <v>9.9999999999999995E-7</v>
      </c>
      <c r="Q217" s="704">
        <f t="shared" si="284"/>
        <v>5.4999999999995455E-2</v>
      </c>
      <c r="R217" s="704">
        <f t="shared" si="284"/>
        <v>0.11</v>
      </c>
      <c r="S217" s="1466">
        <v>3</v>
      </c>
    </row>
    <row r="218" spans="1:19" hidden="1" x14ac:dyDescent="0.2">
      <c r="A218" s="1467"/>
      <c r="B218" s="832">
        <v>7</v>
      </c>
      <c r="C218" s="704">
        <f t="shared" ref="C218:H218" si="285">V$23</f>
        <v>100</v>
      </c>
      <c r="D218" s="704">
        <f t="shared" si="285"/>
        <v>0.10999999999999943</v>
      </c>
      <c r="E218" s="704">
        <f t="shared" si="285"/>
        <v>0.01</v>
      </c>
      <c r="F218" s="704">
        <f t="shared" si="285"/>
        <v>9.9999999999999995E-7</v>
      </c>
      <c r="G218" s="704">
        <f t="shared" si="285"/>
        <v>5.4999499999999715E-2</v>
      </c>
      <c r="H218" s="704">
        <f t="shared" si="285"/>
        <v>0.33</v>
      </c>
      <c r="I218" s="1466"/>
      <c r="K218" s="1467"/>
      <c r="L218" s="832">
        <v>7</v>
      </c>
      <c r="M218" s="704">
        <f t="shared" ref="M218:R218" si="286">V$28</f>
        <v>500</v>
      </c>
      <c r="N218" s="704">
        <f t="shared" si="286"/>
        <v>-4.0000000000020464E-2</v>
      </c>
      <c r="O218" s="704">
        <f t="shared" si="286"/>
        <v>0.01</v>
      </c>
      <c r="P218" s="704">
        <f t="shared" si="286"/>
        <v>9.9999999999999995E-7</v>
      </c>
      <c r="Q218" s="704">
        <f t="shared" si="286"/>
        <v>2.5000000000010233E-2</v>
      </c>
      <c r="R218" s="704">
        <f t="shared" si="286"/>
        <v>0.33</v>
      </c>
      <c r="S218" s="1466"/>
    </row>
    <row r="219" spans="1:19" hidden="1" x14ac:dyDescent="0.2">
      <c r="A219" s="1467"/>
      <c r="B219" s="832">
        <v>8</v>
      </c>
      <c r="C219" s="704">
        <f t="shared" ref="C219:H219" si="287">AC$9</f>
        <v>100</v>
      </c>
      <c r="D219" s="704">
        <f t="shared" si="287"/>
        <v>7.9999999999998295E-2</v>
      </c>
      <c r="E219" s="704">
        <f t="shared" si="287"/>
        <v>0.01</v>
      </c>
      <c r="F219" s="704">
        <f t="shared" si="287"/>
        <v>9.9999999999999995E-7</v>
      </c>
      <c r="G219" s="704">
        <f t="shared" si="287"/>
        <v>3.9999499999999147E-2</v>
      </c>
      <c r="H219" s="704">
        <f t="shared" si="287"/>
        <v>0.3</v>
      </c>
      <c r="I219" s="1466"/>
      <c r="K219" s="1467"/>
      <c r="L219" s="832">
        <v>8</v>
      </c>
      <c r="M219" s="704">
        <f t="shared" ref="M219:R219" si="288">AC$14</f>
        <v>500</v>
      </c>
      <c r="N219" s="704">
        <f t="shared" si="288"/>
        <v>-9.9999999999909051E-3</v>
      </c>
      <c r="O219" s="704">
        <f t="shared" si="288"/>
        <v>0.02</v>
      </c>
      <c r="P219" s="704">
        <f t="shared" si="288"/>
        <v>9.9999999999999995E-7</v>
      </c>
      <c r="Q219" s="704">
        <f t="shared" si="288"/>
        <v>1.4999999999995453E-2</v>
      </c>
      <c r="R219" s="704">
        <f t="shared" si="288"/>
        <v>0.3</v>
      </c>
      <c r="S219" s="1466"/>
    </row>
    <row r="220" spans="1:19" hidden="1" x14ac:dyDescent="0.2">
      <c r="A220" s="1467"/>
      <c r="B220" s="832">
        <v>9</v>
      </c>
      <c r="C220" s="704">
        <f t="shared" ref="C220:H220" si="289">AC$23</f>
        <v>100</v>
      </c>
      <c r="D220" s="704">
        <f t="shared" si="289"/>
        <v>1.0000000000005116E-2</v>
      </c>
      <c r="E220" s="704">
        <f t="shared" si="289"/>
        <v>0.01</v>
      </c>
      <c r="F220" s="704">
        <f t="shared" si="289"/>
        <v>9.9999999999999995E-7</v>
      </c>
      <c r="G220" s="704">
        <f t="shared" si="289"/>
        <v>4.9995000000025583E-3</v>
      </c>
      <c r="H220" s="704">
        <f t="shared" si="289"/>
        <v>0.14000000000000001</v>
      </c>
      <c r="I220" s="1466"/>
      <c r="K220" s="1467"/>
      <c r="L220" s="832">
        <v>9</v>
      </c>
      <c r="M220" s="704">
        <f t="shared" ref="M220:R220" si="290">AC$28</f>
        <v>500</v>
      </c>
      <c r="N220" s="704">
        <f t="shared" si="290"/>
        <v>9.9999999999909051E-3</v>
      </c>
      <c r="O220" s="704">
        <f t="shared" si="290"/>
        <v>0.01</v>
      </c>
      <c r="P220" s="704">
        <f t="shared" si="290"/>
        <v>9.9999999999999995E-7</v>
      </c>
      <c r="Q220" s="704">
        <f t="shared" si="290"/>
        <v>4.9995000000000005E-3</v>
      </c>
      <c r="R220" s="704">
        <f t="shared" si="290"/>
        <v>0.14000000000000001</v>
      </c>
      <c r="S220" s="1466"/>
    </row>
    <row r="221" spans="1:19" hidden="1" x14ac:dyDescent="0.2">
      <c r="A221" s="1467"/>
      <c r="B221" s="832">
        <v>10</v>
      </c>
      <c r="C221" s="704">
        <f>A$60</f>
        <v>100</v>
      </c>
      <c r="D221" s="704">
        <f t="shared" ref="D221:F221" si="291">B$60</f>
        <v>-7.0000000000000007E-2</v>
      </c>
      <c r="E221" s="704" t="str">
        <f t="shared" si="291"/>
        <v>-</v>
      </c>
      <c r="F221" s="704" t="str">
        <f t="shared" si="291"/>
        <v>-</v>
      </c>
      <c r="G221" s="704">
        <f>E$60</f>
        <v>0</v>
      </c>
      <c r="H221" s="704">
        <f>F$60</f>
        <v>0.32</v>
      </c>
      <c r="I221" s="1466">
        <v>4</v>
      </c>
      <c r="K221" s="1467"/>
      <c r="L221" s="832">
        <v>10</v>
      </c>
      <c r="M221" s="704">
        <f t="shared" ref="M221:R221" si="292">A$65</f>
        <v>600</v>
      </c>
      <c r="N221" s="704">
        <f t="shared" si="292"/>
        <v>-0.09</v>
      </c>
      <c r="O221" s="704" t="str">
        <f t="shared" si="292"/>
        <v>-</v>
      </c>
      <c r="P221" s="704" t="str">
        <f t="shared" si="292"/>
        <v>-</v>
      </c>
      <c r="Q221" s="704">
        <f t="shared" si="292"/>
        <v>0</v>
      </c>
      <c r="R221" s="704">
        <f t="shared" si="292"/>
        <v>0.32</v>
      </c>
      <c r="S221" s="1466">
        <v>4</v>
      </c>
    </row>
    <row r="222" spans="1:19" hidden="1" x14ac:dyDescent="0.2">
      <c r="A222" s="1467"/>
      <c r="B222" s="832">
        <v>11</v>
      </c>
      <c r="C222" s="704">
        <f>A$74</f>
        <v>100</v>
      </c>
      <c r="D222" s="704">
        <f t="shared" ref="D222:F222" si="293">B$74</f>
        <v>9.9999999999999995E-7</v>
      </c>
      <c r="E222" s="704" t="str">
        <f t="shared" si="293"/>
        <v>-</v>
      </c>
      <c r="F222" s="704" t="str">
        <f t="shared" si="293"/>
        <v>-</v>
      </c>
      <c r="G222" s="704">
        <f>E$74</f>
        <v>0</v>
      </c>
      <c r="H222" s="704">
        <f>F$74</f>
        <v>0.23</v>
      </c>
      <c r="I222" s="1466"/>
      <c r="K222" s="1467"/>
      <c r="L222" s="832">
        <v>11</v>
      </c>
      <c r="M222" s="704">
        <f t="shared" ref="M222:R222" si="294">A$79</f>
        <v>600</v>
      </c>
      <c r="N222" s="704">
        <f t="shared" si="294"/>
        <v>0.12</v>
      </c>
      <c r="O222" s="704" t="str">
        <f t="shared" si="294"/>
        <v>-</v>
      </c>
      <c r="P222" s="704" t="str">
        <f t="shared" si="294"/>
        <v>-</v>
      </c>
      <c r="Q222" s="704">
        <f t="shared" si="294"/>
        <v>0</v>
      </c>
      <c r="R222" s="704">
        <f t="shared" si="294"/>
        <v>0.23</v>
      </c>
      <c r="S222" s="1466"/>
    </row>
    <row r="223" spans="1:19" hidden="1" x14ac:dyDescent="0.2">
      <c r="A223" s="1467"/>
      <c r="B223" s="832">
        <v>12</v>
      </c>
      <c r="C223" s="704">
        <f t="shared" ref="C223:H223" si="295">H$60</f>
        <v>100</v>
      </c>
      <c r="D223" s="704">
        <f t="shared" si="295"/>
        <v>-0.08</v>
      </c>
      <c r="E223" s="704" t="str">
        <f t="shared" si="295"/>
        <v>-</v>
      </c>
      <c r="F223" s="704" t="str">
        <f t="shared" si="295"/>
        <v>-</v>
      </c>
      <c r="G223" s="704">
        <f t="shared" si="295"/>
        <v>0</v>
      </c>
      <c r="H223" s="704">
        <f t="shared" si="295"/>
        <v>0.48</v>
      </c>
      <c r="I223" s="1466"/>
      <c r="K223" s="1467"/>
      <c r="L223" s="832">
        <v>12</v>
      </c>
      <c r="M223" s="704">
        <f t="shared" ref="M223:R223" si="296">H$65</f>
        <v>600</v>
      </c>
      <c r="N223" s="704">
        <f t="shared" si="296"/>
        <v>0.03</v>
      </c>
      <c r="O223" s="704" t="str">
        <f t="shared" si="296"/>
        <v>-</v>
      </c>
      <c r="P223" s="704" t="str">
        <f t="shared" si="296"/>
        <v>-</v>
      </c>
      <c r="Q223" s="704">
        <f t="shared" si="296"/>
        <v>0</v>
      </c>
      <c r="R223" s="704">
        <f t="shared" si="296"/>
        <v>0.48</v>
      </c>
      <c r="S223" s="1466"/>
    </row>
    <row r="224" spans="1:19" hidden="1" x14ac:dyDescent="0.2">
      <c r="A224" s="1467"/>
      <c r="B224" s="832">
        <v>13</v>
      </c>
      <c r="C224" s="704">
        <f t="shared" ref="C224:H224" si="297">H$74</f>
        <v>100</v>
      </c>
      <c r="D224" s="704">
        <f t="shared" si="297"/>
        <v>-0.06</v>
      </c>
      <c r="E224" s="704" t="str">
        <f t="shared" si="297"/>
        <v>-</v>
      </c>
      <c r="F224" s="704" t="str">
        <f t="shared" si="297"/>
        <v>-</v>
      </c>
      <c r="G224" s="704">
        <f t="shared" si="297"/>
        <v>0</v>
      </c>
      <c r="H224" s="704">
        <f t="shared" si="297"/>
        <v>0.43</v>
      </c>
      <c r="I224" s="1466"/>
      <c r="K224" s="1467"/>
      <c r="L224" s="832">
        <v>13</v>
      </c>
      <c r="M224" s="704">
        <f t="shared" ref="M224:R224" si="298">H$79</f>
        <v>600</v>
      </c>
      <c r="N224" s="704">
        <f t="shared" si="298"/>
        <v>0.14000000000000001</v>
      </c>
      <c r="O224" s="704" t="str">
        <f t="shared" si="298"/>
        <v>-</v>
      </c>
      <c r="P224" s="704" t="str">
        <f t="shared" si="298"/>
        <v>-</v>
      </c>
      <c r="Q224" s="704">
        <f t="shared" si="298"/>
        <v>0</v>
      </c>
      <c r="R224" s="704">
        <f t="shared" si="298"/>
        <v>0.43</v>
      </c>
      <c r="S224" s="1466"/>
    </row>
    <row r="225" spans="1:19" hidden="1" x14ac:dyDescent="0.2">
      <c r="A225" s="1467"/>
      <c r="B225" s="832">
        <v>14</v>
      </c>
      <c r="C225" s="704">
        <f t="shared" ref="C225:H225" si="299">O$60</f>
        <v>0</v>
      </c>
      <c r="D225" s="704" t="str">
        <f t="shared" si="299"/>
        <v>-</v>
      </c>
      <c r="E225" s="704" t="str">
        <f t="shared" si="299"/>
        <v>-</v>
      </c>
      <c r="F225" s="704" t="str">
        <f t="shared" si="299"/>
        <v>-</v>
      </c>
      <c r="G225" s="704">
        <f t="shared" si="299"/>
        <v>0</v>
      </c>
      <c r="H225" s="704">
        <f t="shared" si="299"/>
        <v>0.02</v>
      </c>
      <c r="I225" s="702">
        <v>5</v>
      </c>
      <c r="K225" s="1467"/>
      <c r="L225" s="832">
        <v>14</v>
      </c>
      <c r="M225" s="704">
        <f t="shared" ref="M225:R225" si="300">O$65</f>
        <v>0</v>
      </c>
      <c r="N225" s="704" t="str">
        <f t="shared" si="300"/>
        <v>-</v>
      </c>
      <c r="O225" s="704" t="str">
        <f t="shared" si="300"/>
        <v>-</v>
      </c>
      <c r="P225" s="704" t="str">
        <f t="shared" si="300"/>
        <v>-</v>
      </c>
      <c r="Q225" s="704">
        <f t="shared" si="300"/>
        <v>0</v>
      </c>
      <c r="R225" s="704">
        <f t="shared" si="300"/>
        <v>0.02</v>
      </c>
      <c r="S225" s="702">
        <v>5</v>
      </c>
    </row>
    <row r="226" spans="1:19" hidden="1" x14ac:dyDescent="0.2">
      <c r="A226" s="1467"/>
      <c r="B226" s="832">
        <v>15</v>
      </c>
      <c r="C226" s="704">
        <f t="shared" ref="C226:H226" si="301">V$60</f>
        <v>100</v>
      </c>
      <c r="D226" s="704">
        <f t="shared" si="301"/>
        <v>0.02</v>
      </c>
      <c r="E226" s="704">
        <f t="shared" si="301"/>
        <v>-0.16</v>
      </c>
      <c r="F226" s="704" t="str">
        <f t="shared" si="301"/>
        <v>-</v>
      </c>
      <c r="G226" s="704">
        <f t="shared" si="301"/>
        <v>0.09</v>
      </c>
      <c r="H226" s="704">
        <f t="shared" si="301"/>
        <v>0.1</v>
      </c>
      <c r="I226" s="1466">
        <v>6</v>
      </c>
      <c r="K226" s="1467"/>
      <c r="L226" s="832">
        <v>15</v>
      </c>
      <c r="M226" s="704">
        <f t="shared" ref="M226:R226" si="302">V$65</f>
        <v>500</v>
      </c>
      <c r="N226" s="704">
        <f t="shared" si="302"/>
        <v>0.27</v>
      </c>
      <c r="O226" s="704">
        <f t="shared" si="302"/>
        <v>7.0000000000000007E-2</v>
      </c>
      <c r="P226" s="704" t="str">
        <f t="shared" si="302"/>
        <v>-</v>
      </c>
      <c r="Q226" s="704">
        <f t="shared" si="302"/>
        <v>0.1</v>
      </c>
      <c r="R226" s="704">
        <f t="shared" si="302"/>
        <v>0.1</v>
      </c>
      <c r="S226" s="1466">
        <v>6</v>
      </c>
    </row>
    <row r="227" spans="1:19" hidden="1" x14ac:dyDescent="0.2">
      <c r="A227" s="1467"/>
      <c r="B227" s="832">
        <v>16</v>
      </c>
      <c r="C227" s="704">
        <f t="shared" ref="C227:H227" si="303">V$74</f>
        <v>100</v>
      </c>
      <c r="D227" s="704">
        <f t="shared" si="303"/>
        <v>0.02</v>
      </c>
      <c r="E227" s="704">
        <f t="shared" si="303"/>
        <v>-0.01</v>
      </c>
      <c r="F227" s="704" t="str">
        <f t="shared" si="303"/>
        <v>-</v>
      </c>
      <c r="G227" s="704">
        <f t="shared" si="303"/>
        <v>1.4999999999999999E-2</v>
      </c>
      <c r="H227" s="704">
        <f t="shared" si="303"/>
        <v>0.21</v>
      </c>
      <c r="I227" s="1466"/>
      <c r="K227" s="1467"/>
      <c r="L227" s="832">
        <v>16</v>
      </c>
      <c r="M227" s="704">
        <f t="shared" ref="M227:R227" si="304">V$79</f>
        <v>500</v>
      </c>
      <c r="N227" s="704">
        <f t="shared" si="304"/>
        <v>0.25</v>
      </c>
      <c r="O227" s="704">
        <f t="shared" si="304"/>
        <v>0.23</v>
      </c>
      <c r="P227" s="704" t="str">
        <f t="shared" si="304"/>
        <v>-</v>
      </c>
      <c r="Q227" s="704">
        <f t="shared" si="304"/>
        <v>9.999999999999995E-3</v>
      </c>
      <c r="R227" s="704">
        <f t="shared" si="304"/>
        <v>0.21</v>
      </c>
      <c r="S227" s="1466"/>
    </row>
    <row r="228" spans="1:19" hidden="1" x14ac:dyDescent="0.2">
      <c r="A228" s="1467"/>
      <c r="B228" s="832">
        <v>17</v>
      </c>
      <c r="C228" s="704">
        <f t="shared" ref="C228:H228" si="305">AC$60</f>
        <v>100</v>
      </c>
      <c r="D228" s="704">
        <f t="shared" si="305"/>
        <v>-0.05</v>
      </c>
      <c r="E228" s="704">
        <f t="shared" si="305"/>
        <v>9.9999999999999995E-7</v>
      </c>
      <c r="F228" s="704" t="str">
        <f t="shared" si="305"/>
        <v>-</v>
      </c>
      <c r="G228" s="704">
        <f t="shared" si="305"/>
        <v>2.5000500000000002E-2</v>
      </c>
      <c r="H228" s="704">
        <f t="shared" si="305"/>
        <v>0.18</v>
      </c>
      <c r="I228" s="1466"/>
      <c r="K228" s="1467"/>
      <c r="L228" s="832">
        <v>17</v>
      </c>
      <c r="M228" s="704">
        <f t="shared" ref="M228:R228" si="306">AC$65</f>
        <v>500</v>
      </c>
      <c r="N228" s="704">
        <f t="shared" si="306"/>
        <v>0.14000000000000001</v>
      </c>
      <c r="O228" s="704">
        <f t="shared" si="306"/>
        <v>0.01</v>
      </c>
      <c r="P228" s="704" t="str">
        <f t="shared" si="306"/>
        <v>-</v>
      </c>
      <c r="Q228" s="704">
        <f t="shared" si="306"/>
        <v>6.5000000000000002E-2</v>
      </c>
      <c r="R228" s="704">
        <f t="shared" si="306"/>
        <v>0.18</v>
      </c>
      <c r="S228" s="1466"/>
    </row>
    <row r="229" spans="1:19" hidden="1" x14ac:dyDescent="0.2">
      <c r="A229" s="1467"/>
      <c r="B229" s="832">
        <v>18</v>
      </c>
      <c r="C229" s="704">
        <f t="shared" ref="C229:H229" si="307">AC$74</f>
        <v>100</v>
      </c>
      <c r="D229" s="704">
        <f t="shared" si="307"/>
        <v>0.02</v>
      </c>
      <c r="E229" s="704">
        <f t="shared" si="307"/>
        <v>-0.03</v>
      </c>
      <c r="F229" s="704" t="str">
        <f t="shared" si="307"/>
        <v>-</v>
      </c>
      <c r="G229" s="704">
        <f t="shared" si="307"/>
        <v>2.5000000000000001E-2</v>
      </c>
      <c r="H229" s="704">
        <f t="shared" si="307"/>
        <v>0.19</v>
      </c>
      <c r="I229" s="1466"/>
      <c r="K229" s="1467"/>
      <c r="L229" s="832">
        <v>18</v>
      </c>
      <c r="M229" s="704">
        <f t="shared" ref="M229:R229" si="308">AC$79</f>
        <v>500</v>
      </c>
      <c r="N229" s="704">
        <f t="shared" si="308"/>
        <v>0.08</v>
      </c>
      <c r="O229" s="704">
        <f t="shared" si="308"/>
        <v>0.1</v>
      </c>
      <c r="P229" s="704" t="str">
        <f t="shared" si="308"/>
        <v>-</v>
      </c>
      <c r="Q229" s="704">
        <f t="shared" si="308"/>
        <v>1.0000000000000002E-2</v>
      </c>
      <c r="R229" s="704">
        <f t="shared" si="308"/>
        <v>0.19</v>
      </c>
      <c r="S229" s="1466"/>
    </row>
    <row r="230" spans="1:19" hidden="1" x14ac:dyDescent="0.2">
      <c r="A230" s="1467"/>
      <c r="B230" s="832">
        <v>19</v>
      </c>
      <c r="C230" s="704">
        <f t="shared" ref="C230:H230" si="309">AJ$9</f>
        <v>100</v>
      </c>
      <c r="D230" s="704">
        <f t="shared" si="309"/>
        <v>-0.28000000000000114</v>
      </c>
      <c r="E230" s="704">
        <f t="shared" si="309"/>
        <v>-0.01</v>
      </c>
      <c r="F230" s="704" t="str">
        <f t="shared" si="309"/>
        <v>-</v>
      </c>
      <c r="G230" s="704">
        <f t="shared" si="309"/>
        <v>0.13500000000000056</v>
      </c>
      <c r="H230" s="704">
        <f t="shared" si="309"/>
        <v>0.52</v>
      </c>
      <c r="I230" s="1466">
        <v>7</v>
      </c>
      <c r="K230" s="1467"/>
      <c r="L230" s="832">
        <v>19</v>
      </c>
      <c r="M230" s="704">
        <f t="shared" ref="M230:R230" si="310">AJ$14</f>
        <v>500</v>
      </c>
      <c r="N230" s="704">
        <f t="shared" si="310"/>
        <v>-1.2900000000000205</v>
      </c>
      <c r="O230" s="704">
        <f t="shared" si="310"/>
        <v>0.14000000000000001</v>
      </c>
      <c r="P230" s="704" t="str">
        <f t="shared" si="310"/>
        <v>-</v>
      </c>
      <c r="Q230" s="704">
        <f t="shared" si="310"/>
        <v>0.71500000000001029</v>
      </c>
      <c r="R230" s="704">
        <f t="shared" si="310"/>
        <v>0.52</v>
      </c>
      <c r="S230" s="1466">
        <v>7</v>
      </c>
    </row>
    <row r="231" spans="1:19" hidden="1" x14ac:dyDescent="0.2">
      <c r="A231" s="1467"/>
      <c r="B231" s="832">
        <v>20</v>
      </c>
      <c r="C231" s="704">
        <f t="shared" ref="C231:H231" si="311">AJ$23</f>
        <v>100</v>
      </c>
      <c r="D231" s="704">
        <f t="shared" si="311"/>
        <v>-0.20000000000000284</v>
      </c>
      <c r="E231" s="704">
        <f t="shared" si="311"/>
        <v>-0.03</v>
      </c>
      <c r="F231" s="704" t="str">
        <f t="shared" si="311"/>
        <v>-</v>
      </c>
      <c r="G231" s="704">
        <f t="shared" si="311"/>
        <v>8.5000000000001422E-2</v>
      </c>
      <c r="H231" s="704">
        <f t="shared" si="311"/>
        <v>0.54</v>
      </c>
      <c r="I231" s="1466"/>
      <c r="K231" s="1467"/>
      <c r="L231" s="832">
        <v>20</v>
      </c>
      <c r="M231" s="704">
        <f t="shared" ref="M231:R231" si="312">AJ$28</f>
        <v>500</v>
      </c>
      <c r="N231" s="704">
        <f t="shared" si="312"/>
        <v>-0.74000000000000909</v>
      </c>
      <c r="O231" s="704">
        <f t="shared" si="312"/>
        <v>0.08</v>
      </c>
      <c r="P231" s="704" t="str">
        <f t="shared" si="312"/>
        <v>-</v>
      </c>
      <c r="Q231" s="704">
        <f t="shared" si="312"/>
        <v>0.41000000000000453</v>
      </c>
      <c r="R231" s="704">
        <f t="shared" si="312"/>
        <v>0.54</v>
      </c>
      <c r="S231" s="1466"/>
    </row>
    <row r="232" spans="1:19" hidden="1" x14ac:dyDescent="0.2">
      <c r="A232" s="1467"/>
      <c r="B232" s="832">
        <v>21</v>
      </c>
      <c r="C232" s="704">
        <f t="shared" ref="C232:H232" si="313">AQ$9</f>
        <v>100</v>
      </c>
      <c r="D232" s="704">
        <f t="shared" si="313"/>
        <v>-0.21999999999999886</v>
      </c>
      <c r="E232" s="704">
        <f t="shared" si="313"/>
        <v>0.03</v>
      </c>
      <c r="F232" s="704" t="str">
        <f t="shared" si="313"/>
        <v>-</v>
      </c>
      <c r="G232" s="704">
        <f t="shared" si="313"/>
        <v>0.12499999999999943</v>
      </c>
      <c r="H232" s="704">
        <f t="shared" si="313"/>
        <v>0.62</v>
      </c>
      <c r="I232" s="1466"/>
      <c r="K232" s="1467"/>
      <c r="L232" s="832">
        <v>21</v>
      </c>
      <c r="M232" s="704">
        <f t="shared" ref="M232:R232" si="314">AQ$14</f>
        <v>500</v>
      </c>
      <c r="N232" s="704">
        <f t="shared" si="314"/>
        <v>-0.61000000000001364</v>
      </c>
      <c r="O232" s="704">
        <f t="shared" si="314"/>
        <v>0.13</v>
      </c>
      <c r="P232" s="704" t="str">
        <f t="shared" si="314"/>
        <v>-</v>
      </c>
      <c r="Q232" s="704">
        <f t="shared" si="314"/>
        <v>0.37000000000000682</v>
      </c>
      <c r="R232" s="704">
        <f t="shared" si="314"/>
        <v>0.62</v>
      </c>
      <c r="S232" s="1466"/>
    </row>
    <row r="233" spans="1:19" hidden="1" x14ac:dyDescent="0.2">
      <c r="A233" s="1467"/>
      <c r="B233" s="832">
        <v>22</v>
      </c>
      <c r="C233" s="704">
        <f t="shared" ref="C233:H233" si="315">AQ$23</f>
        <v>100</v>
      </c>
      <c r="D233" s="704">
        <f t="shared" si="315"/>
        <v>-4.9999999999997158E-2</v>
      </c>
      <c r="E233" s="704">
        <f t="shared" si="315"/>
        <v>9.9999999999999995E-7</v>
      </c>
      <c r="F233" s="704" t="str">
        <f t="shared" si="315"/>
        <v>-</v>
      </c>
      <c r="G233" s="704">
        <f t="shared" si="315"/>
        <v>2.5000499999998579E-2</v>
      </c>
      <c r="H233" s="704">
        <f t="shared" si="315"/>
        <v>0.27</v>
      </c>
      <c r="I233" s="1466"/>
      <c r="K233" s="1467"/>
      <c r="L233" s="832">
        <v>22</v>
      </c>
      <c r="M233" s="704">
        <f t="shared" ref="M233:R233" si="316">AQ$28</f>
        <v>500</v>
      </c>
      <c r="N233" s="704">
        <f t="shared" si="316"/>
        <v>0.11000000000001364</v>
      </c>
      <c r="O233" s="704">
        <f t="shared" si="316"/>
        <v>0.12</v>
      </c>
      <c r="P233" s="704" t="str">
        <f t="shared" si="316"/>
        <v>-</v>
      </c>
      <c r="Q233" s="704">
        <f t="shared" si="316"/>
        <v>4.9999999999931766E-3</v>
      </c>
      <c r="R233" s="704">
        <f t="shared" si="316"/>
        <v>0.27</v>
      </c>
      <c r="S233" s="1466"/>
    </row>
    <row r="234" spans="1:19" hidden="1" x14ac:dyDescent="0.2">
      <c r="A234" s="1467"/>
      <c r="B234" s="832">
        <v>23</v>
      </c>
      <c r="C234" s="704">
        <f t="shared" ref="C234:H234" si="317">AJ$60</f>
        <v>100</v>
      </c>
      <c r="D234" s="704">
        <f t="shared" si="317"/>
        <v>-0.26000000000000512</v>
      </c>
      <c r="E234" s="704">
        <f t="shared" si="317"/>
        <v>-0.01</v>
      </c>
      <c r="F234" s="704" t="str">
        <f t="shared" si="317"/>
        <v>-</v>
      </c>
      <c r="G234" s="704">
        <f t="shared" si="317"/>
        <v>0.12500000000000255</v>
      </c>
      <c r="H234" s="704">
        <f t="shared" si="317"/>
        <v>0.65</v>
      </c>
      <c r="I234" s="1466">
        <v>8</v>
      </c>
      <c r="K234" s="1467"/>
      <c r="L234" s="832">
        <v>23</v>
      </c>
      <c r="M234" s="704">
        <f t="shared" ref="M234:R234" si="318">AJ$65</f>
        <v>500</v>
      </c>
      <c r="N234" s="704">
        <f t="shared" si="318"/>
        <v>-0.92000000000001592</v>
      </c>
      <c r="O234" s="704">
        <f t="shared" si="318"/>
        <v>0.03</v>
      </c>
      <c r="P234" s="704" t="str">
        <f t="shared" si="318"/>
        <v>-</v>
      </c>
      <c r="Q234" s="704">
        <f t="shared" si="318"/>
        <v>0.47500000000000797</v>
      </c>
      <c r="R234" s="704">
        <f t="shared" si="318"/>
        <v>0.65</v>
      </c>
      <c r="S234" s="1466">
        <v>8</v>
      </c>
    </row>
    <row r="235" spans="1:19" hidden="1" x14ac:dyDescent="0.2">
      <c r="A235" s="1467"/>
      <c r="B235" s="832">
        <v>24</v>
      </c>
      <c r="C235" s="704">
        <f t="shared" ref="C235:H235" si="319">AJ$74</f>
        <v>100</v>
      </c>
      <c r="D235" s="704">
        <f t="shared" si="319"/>
        <v>-0.75</v>
      </c>
      <c r="E235" s="704">
        <f t="shared" si="319"/>
        <v>0.02</v>
      </c>
      <c r="F235" s="704" t="str">
        <f t="shared" si="319"/>
        <v>-</v>
      </c>
      <c r="G235" s="704">
        <f t="shared" si="319"/>
        <v>0.38500000000000001</v>
      </c>
      <c r="H235" s="704">
        <f t="shared" si="319"/>
        <v>0.38</v>
      </c>
      <c r="I235" s="1466"/>
      <c r="K235" s="1467"/>
      <c r="L235" s="832">
        <v>24</v>
      </c>
      <c r="M235" s="704">
        <f t="shared" ref="M235:R235" si="320">AJ$79</f>
        <v>500</v>
      </c>
      <c r="N235" s="704">
        <f t="shared" si="320"/>
        <v>-1.3700000000000045</v>
      </c>
      <c r="O235" s="704">
        <f t="shared" si="320"/>
        <v>-0.09</v>
      </c>
      <c r="P235" s="704" t="str">
        <f t="shared" si="320"/>
        <v>-</v>
      </c>
      <c r="Q235" s="704">
        <f t="shared" si="320"/>
        <v>0.64000000000000223</v>
      </c>
      <c r="R235" s="704">
        <f t="shared" si="320"/>
        <v>0.38</v>
      </c>
      <c r="S235" s="1466"/>
    </row>
    <row r="236" spans="1:19" hidden="1" x14ac:dyDescent="0.2">
      <c r="A236" s="1467"/>
      <c r="B236" s="832">
        <v>25</v>
      </c>
      <c r="C236" s="704">
        <f t="shared" ref="C236:H236" si="321">AQ$60</f>
        <v>100</v>
      </c>
      <c r="D236" s="704">
        <f t="shared" si="321"/>
        <v>-0.59000000000000341</v>
      </c>
      <c r="E236" s="704">
        <f t="shared" si="321"/>
        <v>-0.04</v>
      </c>
      <c r="F236" s="704" t="str">
        <f t="shared" si="321"/>
        <v>-</v>
      </c>
      <c r="G236" s="704">
        <f t="shared" si="321"/>
        <v>0.27500000000000169</v>
      </c>
      <c r="H236" s="704">
        <f t="shared" si="321"/>
        <v>0.57999999999999996</v>
      </c>
      <c r="I236" s="1466"/>
      <c r="K236" s="1467"/>
      <c r="L236" s="832">
        <v>25</v>
      </c>
      <c r="M236" s="704">
        <f t="shared" ref="M236:R236" si="322">AQ$65</f>
        <v>500</v>
      </c>
      <c r="N236" s="704">
        <f t="shared" si="322"/>
        <v>-0.94999999999998863</v>
      </c>
      <c r="O236" s="704">
        <f t="shared" si="322"/>
        <v>0.19</v>
      </c>
      <c r="P236" s="704" t="str">
        <f t="shared" si="322"/>
        <v>-</v>
      </c>
      <c r="Q236" s="704">
        <f t="shared" si="322"/>
        <v>0.56999999999999429</v>
      </c>
      <c r="R236" s="704">
        <f t="shared" si="322"/>
        <v>0.57999999999999996</v>
      </c>
      <c r="S236" s="1466"/>
    </row>
    <row r="237" spans="1:19" hidden="1" x14ac:dyDescent="0.2">
      <c r="A237" s="1467"/>
      <c r="B237" s="832">
        <v>26</v>
      </c>
      <c r="C237" s="704">
        <f t="shared" ref="C237:H237" si="323">AQ$74</f>
        <v>100</v>
      </c>
      <c r="D237" s="704">
        <f t="shared" si="323"/>
        <v>-0.18999999999999773</v>
      </c>
      <c r="E237" s="704">
        <f t="shared" si="323"/>
        <v>-0.06</v>
      </c>
      <c r="F237" s="704" t="str">
        <f t="shared" si="323"/>
        <v>-</v>
      </c>
      <c r="G237" s="704">
        <f t="shared" si="323"/>
        <v>6.4999999999998864E-2</v>
      </c>
      <c r="H237" s="704">
        <f t="shared" si="323"/>
        <v>0.39</v>
      </c>
      <c r="I237" s="1466"/>
      <c r="K237" s="1467"/>
      <c r="L237" s="832">
        <v>26</v>
      </c>
      <c r="M237" s="704">
        <f t="shared" ref="M237:R237" si="324">AQ$79</f>
        <v>500</v>
      </c>
      <c r="N237" s="704">
        <f t="shared" si="324"/>
        <v>-1.6000000000000227</v>
      </c>
      <c r="O237" s="704">
        <f t="shared" si="324"/>
        <v>0.19</v>
      </c>
      <c r="P237" s="704" t="str">
        <f t="shared" si="324"/>
        <v>-</v>
      </c>
      <c r="Q237" s="704">
        <f t="shared" si="324"/>
        <v>0.89500000000001134</v>
      </c>
      <c r="R237" s="704">
        <f t="shared" si="324"/>
        <v>0.39</v>
      </c>
      <c r="S237" s="1466"/>
    </row>
    <row r="238" spans="1:19" hidden="1" x14ac:dyDescent="0.2">
      <c r="A238" s="1467"/>
      <c r="B238" s="832">
        <v>27</v>
      </c>
      <c r="C238" s="704">
        <f t="shared" ref="C238:H238" si="325">AX$9</f>
        <v>100</v>
      </c>
      <c r="D238" s="704">
        <f t="shared" si="325"/>
        <v>-0.1</v>
      </c>
      <c r="E238" s="704" t="str">
        <f t="shared" si="325"/>
        <v>-</v>
      </c>
      <c r="F238" s="704" t="str">
        <f t="shared" si="325"/>
        <v>-</v>
      </c>
      <c r="G238" s="704">
        <f t="shared" si="325"/>
        <v>0</v>
      </c>
      <c r="H238" s="704">
        <f t="shared" si="325"/>
        <v>0.57999999999999996</v>
      </c>
      <c r="I238" s="1466">
        <v>9</v>
      </c>
      <c r="K238" s="1467"/>
      <c r="L238" s="832">
        <v>27</v>
      </c>
      <c r="M238" s="704">
        <f t="shared" ref="M238:R238" si="326">AX$14</f>
        <v>500</v>
      </c>
      <c r="N238" s="704">
        <f t="shared" si="326"/>
        <v>0.10000000000002274</v>
      </c>
      <c r="O238" s="704" t="str">
        <f t="shared" si="326"/>
        <v>-</v>
      </c>
      <c r="P238" s="704" t="str">
        <f t="shared" si="326"/>
        <v>-</v>
      </c>
      <c r="Q238" s="704">
        <f t="shared" si="326"/>
        <v>0</v>
      </c>
      <c r="R238" s="704">
        <f t="shared" si="326"/>
        <v>0.57999999999999996</v>
      </c>
      <c r="S238" s="1466">
        <v>9</v>
      </c>
    </row>
    <row r="239" spans="1:19" hidden="1" x14ac:dyDescent="0.2">
      <c r="A239" s="1467"/>
      <c r="B239" s="832">
        <v>28</v>
      </c>
      <c r="C239" s="704">
        <f t="shared" ref="C239:H239" si="327">AX$23</f>
        <v>100</v>
      </c>
      <c r="D239" s="704">
        <f t="shared" si="327"/>
        <v>-0.65000000000000568</v>
      </c>
      <c r="E239" s="704" t="str">
        <f t="shared" si="327"/>
        <v>-</v>
      </c>
      <c r="F239" s="704" t="str">
        <f t="shared" si="327"/>
        <v>-</v>
      </c>
      <c r="G239" s="704">
        <f t="shared" si="327"/>
        <v>0</v>
      </c>
      <c r="H239" s="704">
        <f t="shared" si="327"/>
        <v>0.65</v>
      </c>
      <c r="I239" s="1466"/>
      <c r="K239" s="1467"/>
      <c r="L239" s="832">
        <v>28</v>
      </c>
      <c r="M239" s="704">
        <f t="shared" ref="M239:R239" si="328">AX$28</f>
        <v>500</v>
      </c>
      <c r="N239" s="704">
        <f t="shared" si="328"/>
        <v>-0.18000000000000682</v>
      </c>
      <c r="O239" s="704" t="str">
        <f t="shared" si="328"/>
        <v>-</v>
      </c>
      <c r="P239" s="704" t="str">
        <f t="shared" si="328"/>
        <v>-</v>
      </c>
      <c r="Q239" s="704">
        <f t="shared" si="328"/>
        <v>0</v>
      </c>
      <c r="R239" s="704">
        <f t="shared" si="328"/>
        <v>0.65</v>
      </c>
      <c r="S239" s="1466"/>
    </row>
    <row r="240" spans="1:19" hidden="1" x14ac:dyDescent="0.2">
      <c r="A240" s="1467"/>
      <c r="B240" s="832">
        <v>29</v>
      </c>
      <c r="C240" s="704">
        <f t="shared" ref="C240:H240" si="329">BE$9</f>
        <v>100</v>
      </c>
      <c r="D240" s="704">
        <f t="shared" si="329"/>
        <v>-0.21999999999999886</v>
      </c>
      <c r="E240" s="704" t="str">
        <f t="shared" si="329"/>
        <v>-</v>
      </c>
      <c r="F240" s="704" t="str">
        <f t="shared" si="329"/>
        <v>-</v>
      </c>
      <c r="G240" s="704">
        <f t="shared" si="329"/>
        <v>0</v>
      </c>
      <c r="H240" s="704">
        <f t="shared" si="329"/>
        <v>0.37</v>
      </c>
      <c r="I240" s="1466"/>
      <c r="K240" s="1467"/>
      <c r="L240" s="832">
        <v>29</v>
      </c>
      <c r="M240" s="704">
        <f t="shared" ref="M240:R240" si="330">BE$14</f>
        <v>500</v>
      </c>
      <c r="N240" s="704">
        <f t="shared" si="330"/>
        <v>-0.86000000000001364</v>
      </c>
      <c r="O240" s="704" t="str">
        <f t="shared" si="330"/>
        <v>-</v>
      </c>
      <c r="P240" s="704" t="str">
        <f t="shared" si="330"/>
        <v>-</v>
      </c>
      <c r="Q240" s="704">
        <f t="shared" si="330"/>
        <v>0</v>
      </c>
      <c r="R240" s="704">
        <f t="shared" si="330"/>
        <v>0.37</v>
      </c>
      <c r="S240" s="1466"/>
    </row>
    <row r="241" spans="1:19" hidden="1" x14ac:dyDescent="0.2">
      <c r="A241" s="1467"/>
      <c r="B241" s="832">
        <v>30</v>
      </c>
      <c r="C241" s="704">
        <f t="shared" ref="C241:H241" si="331">BE$23</f>
        <v>100</v>
      </c>
      <c r="D241" s="704">
        <f t="shared" si="331"/>
        <v>-0.34999999999999432</v>
      </c>
      <c r="E241" s="704" t="str">
        <f t="shared" si="331"/>
        <v>-</v>
      </c>
      <c r="F241" s="704" t="str">
        <f t="shared" si="331"/>
        <v>-</v>
      </c>
      <c r="G241" s="704">
        <f t="shared" si="331"/>
        <v>0</v>
      </c>
      <c r="H241" s="704">
        <f t="shared" si="331"/>
        <v>0.74</v>
      </c>
      <c r="I241" s="1466"/>
      <c r="K241" s="1467"/>
      <c r="L241" s="832">
        <v>30</v>
      </c>
      <c r="M241" s="704">
        <f t="shared" ref="M241:R241" si="332">BE$28</f>
        <v>500</v>
      </c>
      <c r="N241" s="704">
        <f t="shared" si="332"/>
        <v>-0.50999999999999091</v>
      </c>
      <c r="O241" s="704" t="str">
        <f t="shared" si="332"/>
        <v>-</v>
      </c>
      <c r="P241" s="704" t="str">
        <f t="shared" si="332"/>
        <v>-</v>
      </c>
      <c r="Q241" s="704">
        <f t="shared" si="332"/>
        <v>0</v>
      </c>
      <c r="R241" s="704">
        <f t="shared" si="332"/>
        <v>0.74</v>
      </c>
      <c r="S241" s="1466"/>
    </row>
    <row r="242" spans="1:19" hidden="1" x14ac:dyDescent="0.2">
      <c r="A242" s="1467"/>
      <c r="B242" s="832">
        <v>31</v>
      </c>
      <c r="C242" s="704">
        <f t="shared" ref="C242:H242" si="333">AX$60</f>
        <v>20</v>
      </c>
      <c r="D242" s="704" t="str">
        <f t="shared" si="333"/>
        <v>-</v>
      </c>
      <c r="E242" s="704" t="str">
        <f t="shared" si="333"/>
        <v>-</v>
      </c>
      <c r="F242" s="704" t="str">
        <f t="shared" si="333"/>
        <v>-</v>
      </c>
      <c r="G242" s="704">
        <f t="shared" si="333"/>
        <v>0</v>
      </c>
      <c r="H242" s="704">
        <f t="shared" si="333"/>
        <v>0</v>
      </c>
      <c r="I242" s="1466">
        <v>10</v>
      </c>
      <c r="K242" s="1467"/>
      <c r="L242" s="832">
        <v>31</v>
      </c>
      <c r="M242" s="704">
        <f t="shared" ref="M242:R242" si="334">AX$65</f>
        <v>600</v>
      </c>
      <c r="N242" s="704" t="str">
        <f t="shared" si="334"/>
        <v>-</v>
      </c>
      <c r="O242" s="704" t="str">
        <f t="shared" si="334"/>
        <v>-</v>
      </c>
      <c r="P242" s="704" t="str">
        <f t="shared" si="334"/>
        <v>-</v>
      </c>
      <c r="Q242" s="704">
        <f t="shared" si="334"/>
        <v>0</v>
      </c>
      <c r="R242" s="704">
        <f t="shared" si="334"/>
        <v>0</v>
      </c>
      <c r="S242" s="1466">
        <v>10</v>
      </c>
    </row>
    <row r="243" spans="1:19" hidden="1" x14ac:dyDescent="0.2">
      <c r="A243" s="1467"/>
      <c r="B243" s="832">
        <v>32</v>
      </c>
      <c r="C243" s="704">
        <f t="shared" ref="C243:H243" si="335">AX$74</f>
        <v>20</v>
      </c>
      <c r="D243" s="704" t="str">
        <f t="shared" si="335"/>
        <v>-</v>
      </c>
      <c r="E243" s="704" t="str">
        <f t="shared" si="335"/>
        <v>-</v>
      </c>
      <c r="F243" s="704" t="str">
        <f t="shared" si="335"/>
        <v>-</v>
      </c>
      <c r="G243" s="704">
        <f t="shared" si="335"/>
        <v>0</v>
      </c>
      <c r="H243" s="704">
        <f t="shared" si="335"/>
        <v>0</v>
      </c>
      <c r="I243" s="1466"/>
      <c r="K243" s="1467"/>
      <c r="L243" s="832">
        <v>32</v>
      </c>
      <c r="M243" s="704">
        <f t="shared" ref="M243:R243" si="336">AX$79</f>
        <v>600</v>
      </c>
      <c r="N243" s="704" t="str">
        <f t="shared" si="336"/>
        <v>-</v>
      </c>
      <c r="O243" s="704" t="str">
        <f t="shared" si="336"/>
        <v>-</v>
      </c>
      <c r="P243" s="704" t="str">
        <f t="shared" si="336"/>
        <v>-</v>
      </c>
      <c r="Q243" s="704">
        <f t="shared" si="336"/>
        <v>0</v>
      </c>
      <c r="R243" s="704">
        <f t="shared" si="336"/>
        <v>0</v>
      </c>
      <c r="S243" s="1466"/>
    </row>
    <row r="244" spans="1:19" hidden="1" x14ac:dyDescent="0.2">
      <c r="A244" s="1467"/>
      <c r="B244" s="832">
        <v>33</v>
      </c>
      <c r="C244" s="704">
        <f t="shared" ref="C244:H244" si="337">BE$60</f>
        <v>20</v>
      </c>
      <c r="D244" s="704" t="str">
        <f t="shared" si="337"/>
        <v>-</v>
      </c>
      <c r="E244" s="704" t="str">
        <f t="shared" si="337"/>
        <v>-</v>
      </c>
      <c r="F244" s="704" t="str">
        <f t="shared" si="337"/>
        <v>-</v>
      </c>
      <c r="G244" s="704">
        <f t="shared" si="337"/>
        <v>0</v>
      </c>
      <c r="H244" s="704">
        <f t="shared" si="337"/>
        <v>0</v>
      </c>
      <c r="I244" s="1466"/>
      <c r="K244" s="1467"/>
      <c r="L244" s="832">
        <v>33</v>
      </c>
      <c r="M244" s="704">
        <f t="shared" ref="M244:R244" si="338">BE$65</f>
        <v>600</v>
      </c>
      <c r="N244" s="704" t="str">
        <f t="shared" si="338"/>
        <v>-</v>
      </c>
      <c r="O244" s="704" t="str">
        <f t="shared" si="338"/>
        <v>-</v>
      </c>
      <c r="P244" s="704" t="str">
        <f t="shared" si="338"/>
        <v>-</v>
      </c>
      <c r="Q244" s="704">
        <f t="shared" si="338"/>
        <v>0</v>
      </c>
      <c r="R244" s="704">
        <f t="shared" si="338"/>
        <v>0</v>
      </c>
      <c r="S244" s="1466"/>
    </row>
    <row r="245" spans="1:19" hidden="1" x14ac:dyDescent="0.2">
      <c r="A245" s="1467"/>
      <c r="B245" s="832">
        <v>34</v>
      </c>
      <c r="C245" s="704">
        <f t="shared" ref="C245:H245" si="339">BE$74</f>
        <v>20</v>
      </c>
      <c r="D245" s="704" t="str">
        <f t="shared" si="339"/>
        <v>-</v>
      </c>
      <c r="E245" s="704" t="str">
        <f t="shared" si="339"/>
        <v>-</v>
      </c>
      <c r="F245" s="704" t="str">
        <f t="shared" si="339"/>
        <v>-</v>
      </c>
      <c r="G245" s="704">
        <f t="shared" si="339"/>
        <v>0</v>
      </c>
      <c r="H245" s="704">
        <f t="shared" si="339"/>
        <v>0</v>
      </c>
      <c r="I245" s="1466"/>
      <c r="K245" s="1467"/>
      <c r="L245" s="832">
        <v>34</v>
      </c>
      <c r="M245" s="704">
        <f t="shared" ref="M245:R245" si="340">BE$79</f>
        <v>600</v>
      </c>
      <c r="N245" s="704" t="str">
        <f t="shared" si="340"/>
        <v>-</v>
      </c>
      <c r="O245" s="704" t="str">
        <f t="shared" si="340"/>
        <v>-</v>
      </c>
      <c r="P245" s="704" t="str">
        <f t="shared" si="340"/>
        <v>-</v>
      </c>
      <c r="Q245" s="704">
        <f t="shared" si="340"/>
        <v>0</v>
      </c>
      <c r="R245" s="704">
        <f t="shared" si="340"/>
        <v>0</v>
      </c>
      <c r="S245" s="1466"/>
    </row>
    <row r="246" spans="1:19" hidden="1" x14ac:dyDescent="0.2">
      <c r="A246" s="534"/>
      <c r="B246" s="833"/>
      <c r="C246" s="459"/>
      <c r="D246" s="459"/>
      <c r="E246" s="459"/>
      <c r="G246" s="459"/>
      <c r="H246" s="459"/>
      <c r="I246" s="836"/>
      <c r="K246" s="532"/>
      <c r="L246" s="835"/>
      <c r="M246" s="453"/>
      <c r="N246" s="453"/>
      <c r="O246" s="453"/>
      <c r="P246" s="453"/>
      <c r="Q246" s="453"/>
      <c r="R246" s="453"/>
      <c r="S246" s="601"/>
    </row>
    <row r="247" spans="1:19" hidden="1" x14ac:dyDescent="0.2">
      <c r="A247" s="1467" t="s">
        <v>55</v>
      </c>
      <c r="B247" s="832">
        <v>1</v>
      </c>
      <c r="C247" s="704">
        <f>A$10</f>
        <v>150</v>
      </c>
      <c r="D247" s="704">
        <f t="shared" ref="D247:F247" si="341">B$10</f>
        <v>0.02</v>
      </c>
      <c r="E247" s="704">
        <f t="shared" si="341"/>
        <v>-0.13</v>
      </c>
      <c r="F247" s="704" t="str">
        <f t="shared" si="341"/>
        <v>-</v>
      </c>
      <c r="G247" s="704">
        <f>E$10</f>
        <v>7.4999999999999997E-2</v>
      </c>
      <c r="H247" s="704">
        <f>F$10</f>
        <v>0.19</v>
      </c>
      <c r="I247" s="1466">
        <v>1</v>
      </c>
      <c r="K247" s="1467" t="s">
        <v>424</v>
      </c>
      <c r="L247" s="832">
        <v>1</v>
      </c>
      <c r="M247" s="704">
        <f t="shared" ref="M247:R247" si="342">A$15</f>
        <v>600</v>
      </c>
      <c r="N247" s="704">
        <f t="shared" si="342"/>
        <v>0.11</v>
      </c>
      <c r="O247" s="704">
        <f t="shared" si="342"/>
        <v>0.28999999999999998</v>
      </c>
      <c r="P247" s="704" t="str">
        <f t="shared" si="342"/>
        <v>-</v>
      </c>
      <c r="Q247" s="704">
        <f t="shared" si="342"/>
        <v>0.09</v>
      </c>
      <c r="R247" s="704">
        <f t="shared" si="342"/>
        <v>0.19</v>
      </c>
      <c r="S247" s="1466">
        <v>1</v>
      </c>
    </row>
    <row r="248" spans="1:19" hidden="1" x14ac:dyDescent="0.2">
      <c r="A248" s="1467"/>
      <c r="B248" s="832">
        <v>2</v>
      </c>
      <c r="C248" s="704">
        <f>A$24</f>
        <v>150</v>
      </c>
      <c r="D248" s="704">
        <f t="shared" ref="D248:F248" si="343">B$24</f>
        <v>0.09</v>
      </c>
      <c r="E248" s="704">
        <f t="shared" si="343"/>
        <v>7.0000000000000007E-2</v>
      </c>
      <c r="F248" s="704" t="str">
        <f t="shared" si="343"/>
        <v>-</v>
      </c>
      <c r="G248" s="704">
        <f>E$24</f>
        <v>9.999999999999995E-3</v>
      </c>
      <c r="H248" s="704">
        <f>F$24</f>
        <v>0.41</v>
      </c>
      <c r="I248" s="1466"/>
      <c r="K248" s="1467"/>
      <c r="L248" s="832">
        <v>2</v>
      </c>
      <c r="M248" s="704">
        <f t="shared" ref="M248:R248" si="344">A$29</f>
        <v>600</v>
      </c>
      <c r="N248" s="704">
        <f t="shared" si="344"/>
        <v>0.04</v>
      </c>
      <c r="O248" s="704">
        <f t="shared" si="344"/>
        <v>0.12</v>
      </c>
      <c r="P248" s="704" t="str">
        <f t="shared" si="344"/>
        <v>-</v>
      </c>
      <c r="Q248" s="704">
        <f t="shared" si="344"/>
        <v>3.9999999999999994E-2</v>
      </c>
      <c r="R248" s="704">
        <f t="shared" si="344"/>
        <v>0.41</v>
      </c>
      <c r="S248" s="1466"/>
    </row>
    <row r="249" spans="1:19" hidden="1" x14ac:dyDescent="0.2">
      <c r="A249" s="1467"/>
      <c r="B249" s="832">
        <v>3</v>
      </c>
      <c r="C249" s="704">
        <f t="shared" ref="C249:H249" si="345">H$10</f>
        <v>150</v>
      </c>
      <c r="D249" s="704">
        <f t="shared" si="345"/>
        <v>9.9999999999999995E-7</v>
      </c>
      <c r="E249" s="704">
        <f t="shared" si="345"/>
        <v>9.9999999999999995E-7</v>
      </c>
      <c r="F249" s="704" t="str">
        <f t="shared" si="345"/>
        <v>-</v>
      </c>
      <c r="G249" s="704">
        <f t="shared" si="345"/>
        <v>0</v>
      </c>
      <c r="H249" s="704">
        <f t="shared" si="345"/>
        <v>0.32</v>
      </c>
      <c r="I249" s="1466"/>
      <c r="K249" s="1467"/>
      <c r="L249" s="832">
        <v>3</v>
      </c>
      <c r="M249" s="704">
        <f t="shared" ref="M249:R249" si="346">H$15</f>
        <v>600</v>
      </c>
      <c r="N249" s="704">
        <f t="shared" si="346"/>
        <v>0.38</v>
      </c>
      <c r="O249" s="704">
        <f t="shared" si="346"/>
        <v>0.19</v>
      </c>
      <c r="P249" s="704" t="str">
        <f t="shared" si="346"/>
        <v>-</v>
      </c>
      <c r="Q249" s="704">
        <f t="shared" si="346"/>
        <v>9.5000000000000001E-2</v>
      </c>
      <c r="R249" s="704">
        <f t="shared" si="346"/>
        <v>0.32</v>
      </c>
      <c r="S249" s="1466"/>
    </row>
    <row r="250" spans="1:19" hidden="1" x14ac:dyDescent="0.2">
      <c r="A250" s="1467"/>
      <c r="B250" s="832">
        <v>4</v>
      </c>
      <c r="C250" s="704">
        <f t="shared" ref="C250:H250" si="347">H$24</f>
        <v>150</v>
      </c>
      <c r="D250" s="704">
        <f t="shared" si="347"/>
        <v>-0.01</v>
      </c>
      <c r="E250" s="704">
        <f t="shared" si="347"/>
        <v>-0.04</v>
      </c>
      <c r="F250" s="704" t="str">
        <f t="shared" si="347"/>
        <v>-</v>
      </c>
      <c r="G250" s="704">
        <f t="shared" si="347"/>
        <v>1.4999999999999999E-2</v>
      </c>
      <c r="H250" s="704">
        <f t="shared" si="347"/>
        <v>0.28999999999999998</v>
      </c>
      <c r="I250" s="1466"/>
      <c r="K250" s="1467"/>
      <c r="L250" s="832">
        <v>4</v>
      </c>
      <c r="M250" s="704">
        <f t="shared" ref="M250:R250" si="348">H$29</f>
        <v>600</v>
      </c>
      <c r="N250" s="704">
        <f t="shared" si="348"/>
        <v>0.15</v>
      </c>
      <c r="O250" s="704">
        <f t="shared" si="348"/>
        <v>0.31</v>
      </c>
      <c r="P250" s="704" t="str">
        <f t="shared" si="348"/>
        <v>-</v>
      </c>
      <c r="Q250" s="704">
        <f t="shared" si="348"/>
        <v>0.08</v>
      </c>
      <c r="R250" s="704">
        <f t="shared" si="348"/>
        <v>0.28999999999999998</v>
      </c>
      <c r="S250" s="1466"/>
    </row>
    <row r="251" spans="1:19" hidden="1" x14ac:dyDescent="0.2">
      <c r="A251" s="1467"/>
      <c r="B251" s="832">
        <v>5</v>
      </c>
      <c r="C251" s="704">
        <f t="shared" ref="C251:H251" si="349">O$10</f>
        <v>150</v>
      </c>
      <c r="D251" s="704">
        <f t="shared" si="349"/>
        <v>-0.21999999999999886</v>
      </c>
      <c r="E251" s="704">
        <f t="shared" si="349"/>
        <v>9.9999999999999995E-7</v>
      </c>
      <c r="F251" s="704">
        <f t="shared" si="349"/>
        <v>0.24</v>
      </c>
      <c r="G251" s="704">
        <f t="shared" si="349"/>
        <v>0.22999999999999943</v>
      </c>
      <c r="H251" s="704">
        <f t="shared" si="349"/>
        <v>0.71</v>
      </c>
      <c r="I251" s="702">
        <v>2</v>
      </c>
      <c r="K251" s="1467"/>
      <c r="L251" s="832">
        <v>5</v>
      </c>
      <c r="M251" s="704">
        <f t="shared" ref="M251:R251" si="350">O$15</f>
        <v>600</v>
      </c>
      <c r="N251" s="704">
        <f t="shared" si="350"/>
        <v>9.9999999999999995E-7</v>
      </c>
      <c r="O251" s="704">
        <f t="shared" si="350"/>
        <v>9.9999999999999995E-7</v>
      </c>
      <c r="P251" s="704">
        <f t="shared" si="350"/>
        <v>9.9999999999999995E-7</v>
      </c>
      <c r="Q251" s="704">
        <f t="shared" si="350"/>
        <v>0</v>
      </c>
      <c r="R251" s="704">
        <f t="shared" si="350"/>
        <v>0.71</v>
      </c>
      <c r="S251" s="702">
        <v>2</v>
      </c>
    </row>
    <row r="252" spans="1:19" hidden="1" x14ac:dyDescent="0.2">
      <c r="A252" s="1467"/>
      <c r="B252" s="832">
        <v>6</v>
      </c>
      <c r="C252" s="704">
        <f t="shared" ref="C252:H252" si="351">V$10</f>
        <v>150</v>
      </c>
      <c r="D252" s="704">
        <f t="shared" si="351"/>
        <v>2.0000000000010232E-2</v>
      </c>
      <c r="E252" s="704">
        <f t="shared" si="351"/>
        <v>-0.14000000000000001</v>
      </c>
      <c r="F252" s="704">
        <f t="shared" si="351"/>
        <v>0.31</v>
      </c>
      <c r="G252" s="704">
        <f t="shared" si="351"/>
        <v>0.22500000000000001</v>
      </c>
      <c r="H252" s="704">
        <f t="shared" si="351"/>
        <v>0.11</v>
      </c>
      <c r="I252" s="1466">
        <v>3</v>
      </c>
      <c r="K252" s="1467"/>
      <c r="L252" s="832">
        <v>6</v>
      </c>
      <c r="M252" s="704">
        <f t="shared" ref="M252:R252" si="352">V$15</f>
        <v>600</v>
      </c>
      <c r="N252" s="704">
        <f t="shared" si="352"/>
        <v>9.9999999999999995E-7</v>
      </c>
      <c r="O252" s="704">
        <f t="shared" si="352"/>
        <v>-0.1</v>
      </c>
      <c r="P252" s="704">
        <f t="shared" si="352"/>
        <v>9.9999999999999995E-7</v>
      </c>
      <c r="Q252" s="704">
        <f t="shared" si="352"/>
        <v>5.0000500000000003E-2</v>
      </c>
      <c r="R252" s="704">
        <f t="shared" si="352"/>
        <v>0.11</v>
      </c>
      <c r="S252" s="1466">
        <v>3</v>
      </c>
    </row>
    <row r="253" spans="1:19" hidden="1" x14ac:dyDescent="0.2">
      <c r="A253" s="1467"/>
      <c r="B253" s="832">
        <v>7</v>
      </c>
      <c r="C253" s="704">
        <f t="shared" ref="C253:H253" si="353">V$24</f>
        <v>150</v>
      </c>
      <c r="D253" s="704">
        <f t="shared" si="353"/>
        <v>9.0000000000003411E-2</v>
      </c>
      <c r="E253" s="704">
        <f t="shared" si="353"/>
        <v>0.01</v>
      </c>
      <c r="F253" s="704">
        <f t="shared" si="353"/>
        <v>0.3</v>
      </c>
      <c r="G253" s="704">
        <f t="shared" si="353"/>
        <v>0.14499999999999999</v>
      </c>
      <c r="H253" s="704">
        <f t="shared" si="353"/>
        <v>0.33</v>
      </c>
      <c r="I253" s="1466"/>
      <c r="K253" s="1467"/>
      <c r="L253" s="832">
        <v>7</v>
      </c>
      <c r="M253" s="704">
        <f t="shared" ref="M253:R253" si="354">V$29</f>
        <v>600</v>
      </c>
      <c r="N253" s="704">
        <f t="shared" si="354"/>
        <v>-8.0000000000040927E-2</v>
      </c>
      <c r="O253" s="704">
        <f t="shared" si="354"/>
        <v>0.01</v>
      </c>
      <c r="P253" s="704">
        <f t="shared" si="354"/>
        <v>9.9999999999999995E-7</v>
      </c>
      <c r="Q253" s="704">
        <f t="shared" si="354"/>
        <v>4.5000000000020461E-2</v>
      </c>
      <c r="R253" s="704">
        <f t="shared" si="354"/>
        <v>0.33</v>
      </c>
      <c r="S253" s="1466"/>
    </row>
    <row r="254" spans="1:19" hidden="1" x14ac:dyDescent="0.2">
      <c r="A254" s="1467"/>
      <c r="B254" s="832">
        <v>8</v>
      </c>
      <c r="C254" s="704">
        <f t="shared" ref="C254:H254" si="355">AC$10</f>
        <v>150</v>
      </c>
      <c r="D254" s="704">
        <f t="shared" si="355"/>
        <v>6.9999999999993179E-2</v>
      </c>
      <c r="E254" s="704">
        <f t="shared" si="355"/>
        <v>0.01</v>
      </c>
      <c r="F254" s="704">
        <f t="shared" si="355"/>
        <v>0.41</v>
      </c>
      <c r="G254" s="704">
        <f t="shared" si="355"/>
        <v>0.19999999999999998</v>
      </c>
      <c r="H254" s="704">
        <f t="shared" si="355"/>
        <v>0.3</v>
      </c>
      <c r="I254" s="1466"/>
      <c r="K254" s="1467"/>
      <c r="L254" s="832">
        <v>8</v>
      </c>
      <c r="M254" s="704">
        <f t="shared" ref="M254:R254" si="356">AC$15</f>
        <v>600</v>
      </c>
      <c r="N254" s="704">
        <f t="shared" si="356"/>
        <v>-3.999999999996362E-2</v>
      </c>
      <c r="O254" s="704">
        <f t="shared" si="356"/>
        <v>0.02</v>
      </c>
      <c r="P254" s="704">
        <f t="shared" si="356"/>
        <v>9.9999999999999995E-7</v>
      </c>
      <c r="Q254" s="704">
        <f t="shared" si="356"/>
        <v>2.9999999999981812E-2</v>
      </c>
      <c r="R254" s="704">
        <f t="shared" si="356"/>
        <v>0.3</v>
      </c>
      <c r="S254" s="1466"/>
    </row>
    <row r="255" spans="1:19" hidden="1" x14ac:dyDescent="0.2">
      <c r="A255" s="1467"/>
      <c r="B255" s="832">
        <v>9</v>
      </c>
      <c r="C255" s="704">
        <f t="shared" ref="C255:H255" si="357">AC$24</f>
        <v>150</v>
      </c>
      <c r="D255" s="704">
        <f t="shared" si="357"/>
        <v>9.9999999999909051E-3</v>
      </c>
      <c r="E255" s="704">
        <f t="shared" si="357"/>
        <v>0.01</v>
      </c>
      <c r="F255" s="704">
        <f t="shared" si="357"/>
        <v>0.31</v>
      </c>
      <c r="G255" s="704">
        <f t="shared" si="357"/>
        <v>0.15000000000000455</v>
      </c>
      <c r="H255" s="704">
        <f t="shared" si="357"/>
        <v>0.14000000000000001</v>
      </c>
      <c r="I255" s="1466"/>
      <c r="K255" s="1467"/>
      <c r="L255" s="832">
        <v>9</v>
      </c>
      <c r="M255" s="704">
        <f t="shared" ref="M255:R255" si="358">AC$29</f>
        <v>600</v>
      </c>
      <c r="N255" s="704">
        <f t="shared" si="358"/>
        <v>9.9999999999909051E-3</v>
      </c>
      <c r="O255" s="704">
        <f t="shared" si="358"/>
        <v>0.01</v>
      </c>
      <c r="P255" s="704">
        <f t="shared" si="358"/>
        <v>9.9999999999999995E-7</v>
      </c>
      <c r="Q255" s="704">
        <f t="shared" si="358"/>
        <v>4.9995000000000005E-3</v>
      </c>
      <c r="R255" s="704">
        <f t="shared" si="358"/>
        <v>0.14000000000000001</v>
      </c>
      <c r="S255" s="1466"/>
    </row>
    <row r="256" spans="1:19" hidden="1" x14ac:dyDescent="0.2">
      <c r="A256" s="1467"/>
      <c r="B256" s="832">
        <v>10</v>
      </c>
      <c r="C256" s="704">
        <f>A$61</f>
        <v>150</v>
      </c>
      <c r="D256" s="704">
        <f t="shared" ref="D256:F256" si="359">B$61</f>
        <v>-0.08</v>
      </c>
      <c r="E256" s="704" t="str">
        <f t="shared" si="359"/>
        <v>-</v>
      </c>
      <c r="F256" s="704" t="str">
        <f t="shared" si="359"/>
        <v>-</v>
      </c>
      <c r="G256" s="704">
        <f>E$61</f>
        <v>0</v>
      </c>
      <c r="H256" s="704">
        <f>F$61</f>
        <v>0.32</v>
      </c>
      <c r="I256" s="1466">
        <v>4</v>
      </c>
      <c r="K256" s="1467"/>
      <c r="L256" s="832">
        <v>10</v>
      </c>
      <c r="M256" s="704">
        <f t="shared" ref="M256:R256" si="360">A$66</f>
        <v>650</v>
      </c>
      <c r="N256" s="704">
        <f t="shared" si="360"/>
        <v>-0.09</v>
      </c>
      <c r="O256" s="704" t="str">
        <f t="shared" si="360"/>
        <v>-</v>
      </c>
      <c r="P256" s="704" t="str">
        <f t="shared" si="360"/>
        <v>-</v>
      </c>
      <c r="Q256" s="704">
        <f t="shared" si="360"/>
        <v>0</v>
      </c>
      <c r="R256" s="704">
        <f t="shared" si="360"/>
        <v>0.32</v>
      </c>
      <c r="S256" s="1466">
        <v>4</v>
      </c>
    </row>
    <row r="257" spans="1:19" hidden="1" x14ac:dyDescent="0.2">
      <c r="A257" s="1467"/>
      <c r="B257" s="832">
        <v>11</v>
      </c>
      <c r="C257" s="704">
        <f>A$75</f>
        <v>150</v>
      </c>
      <c r="D257" s="704">
        <f t="shared" ref="D257:F257" si="361">B$75</f>
        <v>0.03</v>
      </c>
      <c r="E257" s="704" t="str">
        <f t="shared" si="361"/>
        <v>-</v>
      </c>
      <c r="F257" s="704" t="str">
        <f t="shared" si="361"/>
        <v>-</v>
      </c>
      <c r="G257" s="704">
        <f>E$75</f>
        <v>0</v>
      </c>
      <c r="H257" s="704">
        <f>F$75</f>
        <v>0.23</v>
      </c>
      <c r="I257" s="1466"/>
      <c r="K257" s="1467"/>
      <c r="L257" s="832">
        <v>11</v>
      </c>
      <c r="M257" s="704">
        <f t="shared" ref="M257:R257" si="362">A$80</f>
        <v>650</v>
      </c>
      <c r="N257" s="704">
        <f t="shared" si="362"/>
        <v>0.12</v>
      </c>
      <c r="O257" s="704" t="str">
        <f t="shared" si="362"/>
        <v>-</v>
      </c>
      <c r="P257" s="704" t="str">
        <f t="shared" si="362"/>
        <v>-</v>
      </c>
      <c r="Q257" s="704">
        <f t="shared" si="362"/>
        <v>0</v>
      </c>
      <c r="R257" s="704">
        <f t="shared" si="362"/>
        <v>0.23</v>
      </c>
      <c r="S257" s="1466"/>
    </row>
    <row r="258" spans="1:19" hidden="1" x14ac:dyDescent="0.2">
      <c r="A258" s="1467"/>
      <c r="B258" s="832">
        <v>12</v>
      </c>
      <c r="C258" s="704">
        <f t="shared" ref="C258:H258" si="363">H$61</f>
        <v>150</v>
      </c>
      <c r="D258" s="704">
        <f t="shared" si="363"/>
        <v>-0.05</v>
      </c>
      <c r="E258" s="704" t="str">
        <f t="shared" si="363"/>
        <v>-</v>
      </c>
      <c r="F258" s="704" t="str">
        <f t="shared" si="363"/>
        <v>-</v>
      </c>
      <c r="G258" s="704">
        <f t="shared" si="363"/>
        <v>0</v>
      </c>
      <c r="H258" s="704">
        <f t="shared" si="363"/>
        <v>0.48</v>
      </c>
      <c r="I258" s="1466"/>
      <c r="K258" s="1467"/>
      <c r="L258" s="832">
        <v>12</v>
      </c>
      <c r="M258" s="704">
        <f t="shared" ref="M258:R258" si="364">H$66</f>
        <v>650</v>
      </c>
      <c r="N258" s="704">
        <f t="shared" si="364"/>
        <v>0.03</v>
      </c>
      <c r="O258" s="704" t="str">
        <f t="shared" si="364"/>
        <v>-</v>
      </c>
      <c r="P258" s="704" t="str">
        <f t="shared" si="364"/>
        <v>-</v>
      </c>
      <c r="Q258" s="704">
        <f t="shared" si="364"/>
        <v>0</v>
      </c>
      <c r="R258" s="704">
        <f t="shared" si="364"/>
        <v>0.48</v>
      </c>
      <c r="S258" s="1466"/>
    </row>
    <row r="259" spans="1:19" hidden="1" x14ac:dyDescent="0.2">
      <c r="A259" s="1467"/>
      <c r="B259" s="832">
        <v>13</v>
      </c>
      <c r="C259" s="704">
        <f t="shared" ref="C259:H259" si="365">H$75</f>
        <v>150</v>
      </c>
      <c r="D259" s="704">
        <f t="shared" si="365"/>
        <v>-0.01</v>
      </c>
      <c r="E259" s="704" t="str">
        <f t="shared" si="365"/>
        <v>-</v>
      </c>
      <c r="F259" s="704" t="str">
        <f t="shared" si="365"/>
        <v>-</v>
      </c>
      <c r="G259" s="704">
        <f t="shared" si="365"/>
        <v>0</v>
      </c>
      <c r="H259" s="704">
        <f t="shared" si="365"/>
        <v>0.43</v>
      </c>
      <c r="I259" s="1466"/>
      <c r="K259" s="1467"/>
      <c r="L259" s="832">
        <v>13</v>
      </c>
      <c r="M259" s="704">
        <f t="shared" ref="M259:R259" si="366">H$80</f>
        <v>650</v>
      </c>
      <c r="N259" s="704">
        <f t="shared" si="366"/>
        <v>0.14000000000000001</v>
      </c>
      <c r="O259" s="704" t="str">
        <f t="shared" si="366"/>
        <v>-</v>
      </c>
      <c r="P259" s="704" t="str">
        <f t="shared" si="366"/>
        <v>-</v>
      </c>
      <c r="Q259" s="704">
        <f t="shared" si="366"/>
        <v>0</v>
      </c>
      <c r="R259" s="704">
        <f t="shared" si="366"/>
        <v>0.43</v>
      </c>
      <c r="S259" s="1466"/>
    </row>
    <row r="260" spans="1:19" hidden="1" x14ac:dyDescent="0.2">
      <c r="A260" s="1467"/>
      <c r="B260" s="832">
        <v>14</v>
      </c>
      <c r="C260" s="704">
        <f t="shared" ref="C260:H260" si="367">O$61</f>
        <v>0</v>
      </c>
      <c r="D260" s="704" t="str">
        <f t="shared" si="367"/>
        <v>-</v>
      </c>
      <c r="E260" s="704" t="str">
        <f t="shared" si="367"/>
        <v>-</v>
      </c>
      <c r="F260" s="704" t="str">
        <f t="shared" si="367"/>
        <v>-</v>
      </c>
      <c r="G260" s="704">
        <f t="shared" si="367"/>
        <v>0</v>
      </c>
      <c r="H260" s="704">
        <f t="shared" si="367"/>
        <v>0.02</v>
      </c>
      <c r="I260" s="702">
        <v>5</v>
      </c>
      <c r="K260" s="1467"/>
      <c r="L260" s="832">
        <v>14</v>
      </c>
      <c r="M260" s="704">
        <f t="shared" ref="M260:R260" si="368">O$66</f>
        <v>0</v>
      </c>
      <c r="N260" s="704" t="str">
        <f t="shared" si="368"/>
        <v>-</v>
      </c>
      <c r="O260" s="704" t="str">
        <f t="shared" si="368"/>
        <v>-</v>
      </c>
      <c r="P260" s="704" t="str">
        <f t="shared" si="368"/>
        <v>-</v>
      </c>
      <c r="Q260" s="704">
        <f t="shared" si="368"/>
        <v>0</v>
      </c>
      <c r="R260" s="704">
        <f t="shared" si="368"/>
        <v>0.02</v>
      </c>
      <c r="S260" s="702">
        <v>5</v>
      </c>
    </row>
    <row r="261" spans="1:19" hidden="1" x14ac:dyDescent="0.2">
      <c r="A261" s="1467"/>
      <c r="B261" s="832">
        <v>15</v>
      </c>
      <c r="C261" s="704">
        <f t="shared" ref="C261:H261" si="369">V$61</f>
        <v>150</v>
      </c>
      <c r="D261" s="704">
        <f t="shared" si="369"/>
        <v>0.06</v>
      </c>
      <c r="E261" s="704">
        <f t="shared" si="369"/>
        <v>-0.14000000000000001</v>
      </c>
      <c r="F261" s="704" t="str">
        <f t="shared" si="369"/>
        <v>-</v>
      </c>
      <c r="G261" s="704">
        <f t="shared" si="369"/>
        <v>0.1</v>
      </c>
      <c r="H261" s="704">
        <f t="shared" si="369"/>
        <v>0.1</v>
      </c>
      <c r="I261" s="1466">
        <v>6</v>
      </c>
      <c r="K261" s="1467"/>
      <c r="L261" s="832">
        <v>15</v>
      </c>
      <c r="M261" s="704">
        <f t="shared" ref="M261:R261" si="370">V$66</f>
        <v>600</v>
      </c>
      <c r="N261" s="704">
        <f t="shared" si="370"/>
        <v>0.27</v>
      </c>
      <c r="O261" s="704">
        <f t="shared" si="370"/>
        <v>7.0000000000000007E-2</v>
      </c>
      <c r="P261" s="704" t="str">
        <f t="shared" si="370"/>
        <v>-</v>
      </c>
      <c r="Q261" s="704">
        <f t="shared" si="370"/>
        <v>0.1</v>
      </c>
      <c r="R261" s="704">
        <f t="shared" si="370"/>
        <v>0.1</v>
      </c>
      <c r="S261" s="1466">
        <v>6</v>
      </c>
    </row>
    <row r="262" spans="1:19" hidden="1" x14ac:dyDescent="0.2">
      <c r="A262" s="1467"/>
      <c r="B262" s="832">
        <v>16</v>
      </c>
      <c r="C262" s="704">
        <f t="shared" ref="C262:H262" si="371">V$75</f>
        <v>150</v>
      </c>
      <c r="D262" s="704">
        <f t="shared" si="371"/>
        <v>0.05</v>
      </c>
      <c r="E262" s="704">
        <f t="shared" si="371"/>
        <v>9.9999999999999995E-7</v>
      </c>
      <c r="F262" s="704" t="str">
        <f t="shared" si="371"/>
        <v>-</v>
      </c>
      <c r="G262" s="704">
        <f t="shared" si="371"/>
        <v>2.4999500000000001E-2</v>
      </c>
      <c r="H262" s="704">
        <f t="shared" si="371"/>
        <v>0.21</v>
      </c>
      <c r="I262" s="1466"/>
      <c r="K262" s="1467"/>
      <c r="L262" s="832">
        <v>16</v>
      </c>
      <c r="M262" s="704">
        <f t="shared" ref="M262:R262" si="372">V$80</f>
        <v>600</v>
      </c>
      <c r="N262" s="704">
        <f t="shared" si="372"/>
        <v>0.25</v>
      </c>
      <c r="O262" s="704">
        <f t="shared" si="372"/>
        <v>0.23</v>
      </c>
      <c r="P262" s="704" t="str">
        <f t="shared" si="372"/>
        <v>-</v>
      </c>
      <c r="Q262" s="704">
        <f t="shared" si="372"/>
        <v>9.999999999999995E-3</v>
      </c>
      <c r="R262" s="704">
        <f t="shared" si="372"/>
        <v>0.21</v>
      </c>
      <c r="S262" s="1466"/>
    </row>
    <row r="263" spans="1:19" hidden="1" x14ac:dyDescent="0.2">
      <c r="A263" s="1467"/>
      <c r="B263" s="832">
        <v>17</v>
      </c>
      <c r="C263" s="704">
        <f t="shared" ref="C263:H263" si="373">AC$61</f>
        <v>150</v>
      </c>
      <c r="D263" s="704">
        <f t="shared" si="373"/>
        <v>-0.03</v>
      </c>
      <c r="E263" s="704">
        <f t="shared" si="373"/>
        <v>9.9999999999999995E-7</v>
      </c>
      <c r="F263" s="704" t="str">
        <f t="shared" si="373"/>
        <v>-</v>
      </c>
      <c r="G263" s="704">
        <f t="shared" si="373"/>
        <v>1.50005E-2</v>
      </c>
      <c r="H263" s="704">
        <f t="shared" si="373"/>
        <v>0.18</v>
      </c>
      <c r="I263" s="1466"/>
      <c r="K263" s="1467"/>
      <c r="L263" s="832">
        <v>17</v>
      </c>
      <c r="M263" s="704">
        <f t="shared" ref="M263:R263" si="374">AC$66</f>
        <v>600</v>
      </c>
      <c r="N263" s="704">
        <f t="shared" si="374"/>
        <v>0.14000000000000001</v>
      </c>
      <c r="O263" s="704">
        <f t="shared" si="374"/>
        <v>0.01</v>
      </c>
      <c r="P263" s="704" t="str">
        <f t="shared" si="374"/>
        <v>-</v>
      </c>
      <c r="Q263" s="704">
        <f t="shared" si="374"/>
        <v>6.5000000000000002E-2</v>
      </c>
      <c r="R263" s="704">
        <f t="shared" si="374"/>
        <v>0.18</v>
      </c>
      <c r="S263" s="1466"/>
    </row>
    <row r="264" spans="1:19" hidden="1" x14ac:dyDescent="0.2">
      <c r="A264" s="1467"/>
      <c r="B264" s="832">
        <v>18</v>
      </c>
      <c r="C264" s="704">
        <f t="shared" ref="C264:H264" si="375">AC$75</f>
        <v>150</v>
      </c>
      <c r="D264" s="704">
        <f t="shared" si="375"/>
        <v>0.03</v>
      </c>
      <c r="E264" s="704">
        <f t="shared" si="375"/>
        <v>-0.03</v>
      </c>
      <c r="F264" s="704" t="str">
        <f t="shared" si="375"/>
        <v>-</v>
      </c>
      <c r="G264" s="704">
        <f t="shared" si="375"/>
        <v>0.03</v>
      </c>
      <c r="H264" s="704">
        <f t="shared" si="375"/>
        <v>0.19</v>
      </c>
      <c r="I264" s="1466"/>
      <c r="K264" s="1467"/>
      <c r="L264" s="832">
        <v>18</v>
      </c>
      <c r="M264" s="704">
        <f t="shared" ref="M264:R264" si="376">AC$80</f>
        <v>600</v>
      </c>
      <c r="N264" s="704">
        <f t="shared" si="376"/>
        <v>0.08</v>
      </c>
      <c r="O264" s="704">
        <f t="shared" si="376"/>
        <v>0.1</v>
      </c>
      <c r="P264" s="704" t="str">
        <f t="shared" si="376"/>
        <v>-</v>
      </c>
      <c r="Q264" s="704">
        <f t="shared" si="376"/>
        <v>1.0000000000000002E-2</v>
      </c>
      <c r="R264" s="704">
        <f t="shared" si="376"/>
        <v>0.19</v>
      </c>
      <c r="S264" s="1466"/>
    </row>
    <row r="265" spans="1:19" hidden="1" x14ac:dyDescent="0.2">
      <c r="A265" s="1467"/>
      <c r="B265" s="832">
        <v>19</v>
      </c>
      <c r="C265" s="704">
        <f t="shared" ref="C265:H265" si="377">AJ$10</f>
        <v>150</v>
      </c>
      <c r="D265" s="704">
        <f t="shared" si="377"/>
        <v>-0.40000000000000568</v>
      </c>
      <c r="E265" s="704">
        <f t="shared" si="377"/>
        <v>0.01</v>
      </c>
      <c r="F265" s="704" t="str">
        <f t="shared" si="377"/>
        <v>-</v>
      </c>
      <c r="G265" s="704">
        <f t="shared" si="377"/>
        <v>0.20500000000000285</v>
      </c>
      <c r="H265" s="704">
        <f t="shared" si="377"/>
        <v>0.52</v>
      </c>
      <c r="I265" s="1466">
        <v>7</v>
      </c>
      <c r="K265" s="1467"/>
      <c r="L265" s="832">
        <v>19</v>
      </c>
      <c r="M265" s="704">
        <f t="shared" ref="M265:R265" si="378">AJ$15</f>
        <v>600</v>
      </c>
      <c r="N265" s="704">
        <f t="shared" si="378"/>
        <v>-1.5399999999999636</v>
      </c>
      <c r="O265" s="704">
        <f t="shared" si="378"/>
        <v>0.14000000000000001</v>
      </c>
      <c r="P265" s="704" t="str">
        <f t="shared" si="378"/>
        <v>-</v>
      </c>
      <c r="Q265" s="704">
        <f t="shared" si="378"/>
        <v>0.83999999999998187</v>
      </c>
      <c r="R265" s="704">
        <f t="shared" si="378"/>
        <v>0.52</v>
      </c>
      <c r="S265" s="1466">
        <v>7</v>
      </c>
    </row>
    <row r="266" spans="1:19" hidden="1" x14ac:dyDescent="0.2">
      <c r="A266" s="1467"/>
      <c r="B266" s="832">
        <v>20</v>
      </c>
      <c r="C266" s="704">
        <f t="shared" ref="C266:H266" si="379">AJ$24</f>
        <v>150</v>
      </c>
      <c r="D266" s="704">
        <f t="shared" si="379"/>
        <v>-0.27000000000001023</v>
      </c>
      <c r="E266" s="704">
        <f t="shared" si="379"/>
        <v>-0.01</v>
      </c>
      <c r="F266" s="704" t="str">
        <f t="shared" si="379"/>
        <v>-</v>
      </c>
      <c r="G266" s="704">
        <f t="shared" si="379"/>
        <v>0.13000000000000511</v>
      </c>
      <c r="H266" s="704">
        <f t="shared" si="379"/>
        <v>0.54</v>
      </c>
      <c r="I266" s="1466"/>
      <c r="K266" s="1467"/>
      <c r="L266" s="832">
        <v>20</v>
      </c>
      <c r="M266" s="704">
        <f t="shared" ref="M266:R266" si="380">AJ$29</f>
        <v>600</v>
      </c>
      <c r="N266" s="704">
        <f t="shared" si="380"/>
        <v>-0.87999999999999545</v>
      </c>
      <c r="O266" s="704">
        <f t="shared" si="380"/>
        <v>0.08</v>
      </c>
      <c r="P266" s="704" t="str">
        <f t="shared" si="380"/>
        <v>-</v>
      </c>
      <c r="Q266" s="704">
        <f t="shared" si="380"/>
        <v>0.47999999999999771</v>
      </c>
      <c r="R266" s="704">
        <f t="shared" si="380"/>
        <v>0.54</v>
      </c>
      <c r="S266" s="1466"/>
    </row>
    <row r="267" spans="1:19" hidden="1" x14ac:dyDescent="0.2">
      <c r="A267" s="1467"/>
      <c r="B267" s="832">
        <v>21</v>
      </c>
      <c r="C267" s="704">
        <f t="shared" ref="C267:H267" si="381">AQ$10</f>
        <v>150</v>
      </c>
      <c r="D267" s="704">
        <f t="shared" si="381"/>
        <v>-0.27000000000001023</v>
      </c>
      <c r="E267" s="704">
        <f t="shared" si="381"/>
        <v>0.05</v>
      </c>
      <c r="F267" s="704" t="str">
        <f t="shared" si="381"/>
        <v>-</v>
      </c>
      <c r="G267" s="704">
        <f t="shared" si="381"/>
        <v>0.16000000000000511</v>
      </c>
      <c r="H267" s="704">
        <f t="shared" si="381"/>
        <v>0.62</v>
      </c>
      <c r="I267" s="1466"/>
      <c r="K267" s="1467"/>
      <c r="L267" s="832">
        <v>21</v>
      </c>
      <c r="M267" s="704">
        <f t="shared" ref="M267:R267" si="382">AQ$15</f>
        <v>600</v>
      </c>
      <c r="N267" s="704">
        <f t="shared" si="382"/>
        <v>-0.71000000000003638</v>
      </c>
      <c r="O267" s="704">
        <f t="shared" si="382"/>
        <v>9.9999999999999995E-7</v>
      </c>
      <c r="P267" s="704" t="str">
        <f t="shared" si="382"/>
        <v>-</v>
      </c>
      <c r="Q267" s="704">
        <f t="shared" si="382"/>
        <v>0.3550005000000182</v>
      </c>
      <c r="R267" s="704">
        <f t="shared" si="382"/>
        <v>0.62</v>
      </c>
      <c r="S267" s="1466"/>
    </row>
    <row r="268" spans="1:19" hidden="1" x14ac:dyDescent="0.2">
      <c r="A268" s="1467"/>
      <c r="B268" s="832">
        <v>22</v>
      </c>
      <c r="C268" s="704">
        <f t="shared" ref="C268:H268" si="383">AQ$24</f>
        <v>150</v>
      </c>
      <c r="D268" s="704">
        <f t="shared" si="383"/>
        <v>-3.0000000000001137E-2</v>
      </c>
      <c r="E268" s="704">
        <f t="shared" si="383"/>
        <v>0.02</v>
      </c>
      <c r="F268" s="704" t="str">
        <f t="shared" si="383"/>
        <v>-</v>
      </c>
      <c r="G268" s="704">
        <f t="shared" si="383"/>
        <v>2.500000000000057E-2</v>
      </c>
      <c r="H268" s="704">
        <f t="shared" si="383"/>
        <v>0.27</v>
      </c>
      <c r="I268" s="1466"/>
      <c r="K268" s="1467"/>
      <c r="L268" s="832">
        <v>22</v>
      </c>
      <c r="M268" s="704">
        <f t="shared" ref="M268:R268" si="384">AQ$29</f>
        <v>600</v>
      </c>
      <c r="N268" s="704">
        <f t="shared" si="384"/>
        <v>0.14999999999997726</v>
      </c>
      <c r="O268" s="704">
        <f t="shared" si="384"/>
        <v>0.12</v>
      </c>
      <c r="P268" s="704" t="str">
        <f t="shared" si="384"/>
        <v>-</v>
      </c>
      <c r="Q268" s="704">
        <f t="shared" si="384"/>
        <v>1.4999999999988634E-2</v>
      </c>
      <c r="R268" s="704">
        <f t="shared" si="384"/>
        <v>0.27</v>
      </c>
      <c r="S268" s="1466"/>
    </row>
    <row r="269" spans="1:19" hidden="1" x14ac:dyDescent="0.2">
      <c r="A269" s="1467"/>
      <c r="B269" s="832">
        <v>23</v>
      </c>
      <c r="C269" s="704">
        <f t="shared" ref="C269:H269" si="385">AJ$61</f>
        <v>150</v>
      </c>
      <c r="D269" s="704">
        <f t="shared" si="385"/>
        <v>-0.34000000000000341</v>
      </c>
      <c r="E269" s="704">
        <f t="shared" si="385"/>
        <v>-0.01</v>
      </c>
      <c r="F269" s="704" t="str">
        <f t="shared" si="385"/>
        <v>-</v>
      </c>
      <c r="G269" s="704">
        <f t="shared" si="385"/>
        <v>0.1650000000000017</v>
      </c>
      <c r="H269" s="704">
        <f t="shared" si="385"/>
        <v>0.65</v>
      </c>
      <c r="I269" s="1466">
        <v>8</v>
      </c>
      <c r="K269" s="1467"/>
      <c r="L269" s="832">
        <v>23</v>
      </c>
      <c r="M269" s="704">
        <f t="shared" ref="M269:R269" si="386">AJ$66</f>
        <v>600</v>
      </c>
      <c r="N269" s="704">
        <f t="shared" si="386"/>
        <v>-1.0900000000000318</v>
      </c>
      <c r="O269" s="704">
        <f t="shared" si="386"/>
        <v>0.03</v>
      </c>
      <c r="P269" s="704" t="str">
        <f t="shared" si="386"/>
        <v>-</v>
      </c>
      <c r="Q269" s="704">
        <f t="shared" si="386"/>
        <v>0.56000000000001593</v>
      </c>
      <c r="R269" s="704">
        <f t="shared" si="386"/>
        <v>0.65</v>
      </c>
      <c r="S269" s="1466">
        <v>8</v>
      </c>
    </row>
    <row r="270" spans="1:19" hidden="1" x14ac:dyDescent="0.2">
      <c r="A270" s="1467"/>
      <c r="B270" s="832">
        <v>24</v>
      </c>
      <c r="C270" s="704">
        <f t="shared" ref="C270:H270" si="387">AJ$75</f>
        <v>150</v>
      </c>
      <c r="D270" s="704">
        <f t="shared" si="387"/>
        <v>-0.83000000000001251</v>
      </c>
      <c r="E270" s="704">
        <f t="shared" si="387"/>
        <v>0.01</v>
      </c>
      <c r="F270" s="704" t="str">
        <f t="shared" si="387"/>
        <v>-</v>
      </c>
      <c r="G270" s="704">
        <f t="shared" si="387"/>
        <v>0.42000000000000626</v>
      </c>
      <c r="H270" s="704">
        <f t="shared" si="387"/>
        <v>0.38</v>
      </c>
      <c r="I270" s="1466"/>
      <c r="K270" s="1467"/>
      <c r="L270" s="832">
        <v>24</v>
      </c>
      <c r="M270" s="704">
        <f t="shared" ref="M270:R270" si="388">AJ$80</f>
        <v>600</v>
      </c>
      <c r="N270" s="704">
        <f t="shared" si="388"/>
        <v>-1.5299999999999727</v>
      </c>
      <c r="O270" s="704">
        <f t="shared" si="388"/>
        <v>-0.09</v>
      </c>
      <c r="P270" s="704" t="str">
        <f t="shared" si="388"/>
        <v>-</v>
      </c>
      <c r="Q270" s="704">
        <f t="shared" si="388"/>
        <v>0.71999999999998632</v>
      </c>
      <c r="R270" s="704">
        <f t="shared" si="388"/>
        <v>0.38</v>
      </c>
      <c r="S270" s="1466"/>
    </row>
    <row r="271" spans="1:19" hidden="1" x14ac:dyDescent="0.2">
      <c r="A271" s="1467"/>
      <c r="B271" s="832">
        <v>25</v>
      </c>
      <c r="C271" s="704">
        <f t="shared" ref="C271:H271" si="389">AQ$61</f>
        <v>150</v>
      </c>
      <c r="D271" s="704">
        <f t="shared" si="389"/>
        <v>-0.62999999999999545</v>
      </c>
      <c r="E271" s="704">
        <f t="shared" si="389"/>
        <v>-0.02</v>
      </c>
      <c r="F271" s="704" t="str">
        <f t="shared" si="389"/>
        <v>-</v>
      </c>
      <c r="G271" s="704">
        <f t="shared" si="389"/>
        <v>0.30499999999999772</v>
      </c>
      <c r="H271" s="704">
        <f t="shared" si="389"/>
        <v>0.57999999999999996</v>
      </c>
      <c r="I271" s="1466"/>
      <c r="K271" s="1467"/>
      <c r="L271" s="832">
        <v>25</v>
      </c>
      <c r="M271" s="704">
        <f t="shared" ref="M271:R271" si="390">AQ$66</f>
        <v>600</v>
      </c>
      <c r="N271" s="704">
        <f t="shared" si="390"/>
        <v>-1.0399999999999636</v>
      </c>
      <c r="O271" s="704">
        <f t="shared" si="390"/>
        <v>9.9999999999999995E-7</v>
      </c>
      <c r="P271" s="704" t="str">
        <f t="shared" si="390"/>
        <v>-</v>
      </c>
      <c r="Q271" s="704">
        <f t="shared" si="390"/>
        <v>0.52000049999998177</v>
      </c>
      <c r="R271" s="704">
        <f t="shared" si="390"/>
        <v>0.57999999999999996</v>
      </c>
      <c r="S271" s="1466"/>
    </row>
    <row r="272" spans="1:19" hidden="1" x14ac:dyDescent="0.2">
      <c r="A272" s="1467"/>
      <c r="B272" s="832">
        <v>26</v>
      </c>
      <c r="C272" s="704">
        <f t="shared" ref="C272:H272" si="391">AQ$75</f>
        <v>150</v>
      </c>
      <c r="D272" s="704">
        <f t="shared" si="391"/>
        <v>-0.71000000000000796</v>
      </c>
      <c r="E272" s="704">
        <f t="shared" si="391"/>
        <v>-0.03</v>
      </c>
      <c r="F272" s="704" t="str">
        <f t="shared" si="391"/>
        <v>-</v>
      </c>
      <c r="G272" s="704">
        <f t="shared" si="391"/>
        <v>0.34000000000000397</v>
      </c>
      <c r="H272" s="704">
        <f t="shared" si="391"/>
        <v>0.39</v>
      </c>
      <c r="I272" s="1466"/>
      <c r="K272" s="1467"/>
      <c r="L272" s="832">
        <v>26</v>
      </c>
      <c r="M272" s="704">
        <f t="shared" ref="M272:R272" si="392">AQ$80</f>
        <v>600</v>
      </c>
      <c r="N272" s="704">
        <f t="shared" si="392"/>
        <v>-1.8500000000000227</v>
      </c>
      <c r="O272" s="704">
        <f t="shared" si="392"/>
        <v>9.9999999999999995E-7</v>
      </c>
      <c r="P272" s="704" t="str">
        <f t="shared" si="392"/>
        <v>-</v>
      </c>
      <c r="Q272" s="704">
        <f t="shared" si="392"/>
        <v>0.92500050000001133</v>
      </c>
      <c r="R272" s="704">
        <f t="shared" si="392"/>
        <v>0.39</v>
      </c>
      <c r="S272" s="1466"/>
    </row>
    <row r="273" spans="1:19" hidden="1" x14ac:dyDescent="0.2">
      <c r="A273" s="1467"/>
      <c r="B273" s="832">
        <v>27</v>
      </c>
      <c r="C273" s="704">
        <f t="shared" ref="C273:H273" si="393">AX$10</f>
        <v>150</v>
      </c>
      <c r="D273" s="704">
        <f t="shared" si="393"/>
        <v>-7.0000000000000007E-2</v>
      </c>
      <c r="E273" s="704" t="str">
        <f t="shared" si="393"/>
        <v>-</v>
      </c>
      <c r="F273" s="704" t="str">
        <f t="shared" si="393"/>
        <v>-</v>
      </c>
      <c r="G273" s="704">
        <f t="shared" si="393"/>
        <v>0</v>
      </c>
      <c r="H273" s="704">
        <f t="shared" si="393"/>
        <v>0.57999999999999996</v>
      </c>
      <c r="I273" s="1466">
        <v>9</v>
      </c>
      <c r="K273" s="1467"/>
      <c r="L273" s="832">
        <v>27</v>
      </c>
      <c r="M273" s="704">
        <f t="shared" ref="M273:R273" si="394">AX$15</f>
        <v>600</v>
      </c>
      <c r="N273" s="704">
        <f t="shared" si="394"/>
        <v>0.14999999999997726</v>
      </c>
      <c r="O273" s="704" t="str">
        <f t="shared" si="394"/>
        <v>-</v>
      </c>
      <c r="P273" s="704" t="str">
        <f t="shared" si="394"/>
        <v>-</v>
      </c>
      <c r="Q273" s="704">
        <f t="shared" si="394"/>
        <v>0</v>
      </c>
      <c r="R273" s="704">
        <f t="shared" si="394"/>
        <v>0.57999999999999996</v>
      </c>
      <c r="S273" s="1466">
        <v>9</v>
      </c>
    </row>
    <row r="274" spans="1:19" hidden="1" x14ac:dyDescent="0.2">
      <c r="A274" s="1467"/>
      <c r="B274" s="832">
        <v>28</v>
      </c>
      <c r="C274" s="704">
        <f t="shared" ref="C274:H274" si="395">AX$24</f>
        <v>150</v>
      </c>
      <c r="D274" s="704">
        <f t="shared" si="395"/>
        <v>-0.59000000000000341</v>
      </c>
      <c r="E274" s="704" t="str">
        <f t="shared" si="395"/>
        <v>-</v>
      </c>
      <c r="F274" s="704" t="str">
        <f t="shared" si="395"/>
        <v>-</v>
      </c>
      <c r="G274" s="704">
        <f t="shared" si="395"/>
        <v>0</v>
      </c>
      <c r="H274" s="704">
        <f t="shared" si="395"/>
        <v>0.65</v>
      </c>
      <c r="I274" s="1466"/>
      <c r="K274" s="1467"/>
      <c r="L274" s="832">
        <v>28</v>
      </c>
      <c r="M274" s="704">
        <f t="shared" ref="M274:R274" si="396">AX$29</f>
        <v>600</v>
      </c>
      <c r="N274" s="704">
        <f t="shared" si="396"/>
        <v>-7.0000000000050022E-2</v>
      </c>
      <c r="O274" s="704" t="str">
        <f t="shared" si="396"/>
        <v>-</v>
      </c>
      <c r="P274" s="704" t="str">
        <f t="shared" si="396"/>
        <v>-</v>
      </c>
      <c r="Q274" s="704">
        <f t="shared" si="396"/>
        <v>0</v>
      </c>
      <c r="R274" s="704">
        <f t="shared" si="396"/>
        <v>0.65</v>
      </c>
      <c r="S274" s="1466"/>
    </row>
    <row r="275" spans="1:19" hidden="1" x14ac:dyDescent="0.2">
      <c r="A275" s="1467"/>
      <c r="B275" s="832">
        <v>29</v>
      </c>
      <c r="C275" s="704">
        <f t="shared" ref="C275:H275" si="397">BE$10</f>
        <v>150</v>
      </c>
      <c r="D275" s="704">
        <f t="shared" si="397"/>
        <v>-0.30000000000001137</v>
      </c>
      <c r="E275" s="704" t="str">
        <f t="shared" si="397"/>
        <v>-</v>
      </c>
      <c r="F275" s="704" t="str">
        <f t="shared" si="397"/>
        <v>-</v>
      </c>
      <c r="G275" s="704">
        <f t="shared" si="397"/>
        <v>0</v>
      </c>
      <c r="H275" s="704">
        <f t="shared" si="397"/>
        <v>0.37</v>
      </c>
      <c r="I275" s="1466"/>
      <c r="K275" s="1467"/>
      <c r="L275" s="832">
        <v>29</v>
      </c>
      <c r="M275" s="704">
        <f t="shared" ref="M275:R275" si="398">BE$15</f>
        <v>600</v>
      </c>
      <c r="N275" s="704">
        <f t="shared" si="398"/>
        <v>-1.0199999999999818</v>
      </c>
      <c r="O275" s="704">
        <f t="shared" si="398"/>
        <v>0</v>
      </c>
      <c r="P275" s="704" t="str">
        <f t="shared" si="398"/>
        <v>-</v>
      </c>
      <c r="Q275" s="704">
        <f t="shared" si="398"/>
        <v>0</v>
      </c>
      <c r="R275" s="704">
        <f t="shared" si="398"/>
        <v>0.37</v>
      </c>
      <c r="S275" s="1466"/>
    </row>
    <row r="276" spans="1:19" hidden="1" x14ac:dyDescent="0.2">
      <c r="A276" s="1467"/>
      <c r="B276" s="832">
        <v>30</v>
      </c>
      <c r="C276" s="704">
        <f t="shared" ref="C276:H276" si="399">BE$24</f>
        <v>150</v>
      </c>
      <c r="D276" s="704">
        <f t="shared" si="399"/>
        <v>-0.37000000000000455</v>
      </c>
      <c r="E276" s="704" t="str">
        <f t="shared" si="399"/>
        <v>-</v>
      </c>
      <c r="F276" s="704" t="str">
        <f t="shared" si="399"/>
        <v>-</v>
      </c>
      <c r="G276" s="704">
        <f t="shared" si="399"/>
        <v>0</v>
      </c>
      <c r="H276" s="704">
        <f t="shared" si="399"/>
        <v>0.74</v>
      </c>
      <c r="I276" s="1466"/>
      <c r="K276" s="1467"/>
      <c r="L276" s="832">
        <v>30</v>
      </c>
      <c r="M276" s="704">
        <f t="shared" ref="M276:R276" si="400">BE$29</f>
        <v>600</v>
      </c>
      <c r="N276" s="704">
        <f t="shared" si="400"/>
        <v>-0.54999999999995453</v>
      </c>
      <c r="O276" s="704" t="str">
        <f t="shared" si="400"/>
        <v>-</v>
      </c>
      <c r="P276" s="704" t="str">
        <f t="shared" si="400"/>
        <v>-</v>
      </c>
      <c r="Q276" s="704">
        <f t="shared" si="400"/>
        <v>0</v>
      </c>
      <c r="R276" s="704">
        <f t="shared" si="400"/>
        <v>0.74</v>
      </c>
      <c r="S276" s="1466"/>
    </row>
    <row r="277" spans="1:19" hidden="1" x14ac:dyDescent="0.2">
      <c r="A277" s="1467"/>
      <c r="B277" s="832">
        <v>31</v>
      </c>
      <c r="C277" s="704">
        <f t="shared" ref="C277:H277" si="401">AX$61</f>
        <v>50</v>
      </c>
      <c r="D277" s="704" t="str">
        <f t="shared" si="401"/>
        <v>-</v>
      </c>
      <c r="E277" s="704" t="str">
        <f t="shared" si="401"/>
        <v>-</v>
      </c>
      <c r="F277" s="704" t="str">
        <f t="shared" si="401"/>
        <v>-</v>
      </c>
      <c r="G277" s="704">
        <f t="shared" si="401"/>
        <v>0</v>
      </c>
      <c r="H277" s="704">
        <f t="shared" si="401"/>
        <v>0</v>
      </c>
      <c r="I277" s="1466">
        <v>10</v>
      </c>
      <c r="K277" s="1467"/>
      <c r="L277" s="832">
        <v>31</v>
      </c>
      <c r="M277" s="704">
        <f t="shared" ref="M277:R277" si="402">AX$66</f>
        <v>650</v>
      </c>
      <c r="N277" s="704" t="str">
        <f t="shared" si="402"/>
        <v>-</v>
      </c>
      <c r="O277" s="704" t="str">
        <f t="shared" si="402"/>
        <v>-</v>
      </c>
      <c r="P277" s="704" t="str">
        <f t="shared" si="402"/>
        <v>-</v>
      </c>
      <c r="Q277" s="704">
        <f t="shared" si="402"/>
        <v>0</v>
      </c>
      <c r="R277" s="704">
        <f t="shared" si="402"/>
        <v>0</v>
      </c>
      <c r="S277" s="1466">
        <v>10</v>
      </c>
    </row>
    <row r="278" spans="1:19" hidden="1" x14ac:dyDescent="0.2">
      <c r="A278" s="1467"/>
      <c r="B278" s="832">
        <v>32</v>
      </c>
      <c r="C278" s="704">
        <f t="shared" ref="C278:H278" si="403">AX$75</f>
        <v>50</v>
      </c>
      <c r="D278" s="704" t="str">
        <f t="shared" si="403"/>
        <v>-</v>
      </c>
      <c r="E278" s="704" t="str">
        <f t="shared" si="403"/>
        <v>-</v>
      </c>
      <c r="F278" s="704" t="str">
        <f t="shared" si="403"/>
        <v>-</v>
      </c>
      <c r="G278" s="704">
        <f t="shared" si="403"/>
        <v>0</v>
      </c>
      <c r="H278" s="704">
        <f t="shared" si="403"/>
        <v>0</v>
      </c>
      <c r="I278" s="1466"/>
      <c r="K278" s="1467"/>
      <c r="L278" s="832">
        <v>32</v>
      </c>
      <c r="M278" s="704">
        <f t="shared" ref="M278:R278" si="404">AX$80</f>
        <v>650</v>
      </c>
      <c r="N278" s="704" t="str">
        <f t="shared" si="404"/>
        <v>-</v>
      </c>
      <c r="O278" s="704" t="str">
        <f t="shared" si="404"/>
        <v>-</v>
      </c>
      <c r="P278" s="704" t="str">
        <f t="shared" si="404"/>
        <v>-</v>
      </c>
      <c r="Q278" s="704">
        <f t="shared" si="404"/>
        <v>0</v>
      </c>
      <c r="R278" s="704">
        <f t="shared" si="404"/>
        <v>0</v>
      </c>
      <c r="S278" s="1466"/>
    </row>
    <row r="279" spans="1:19" hidden="1" x14ac:dyDescent="0.2">
      <c r="A279" s="1467"/>
      <c r="B279" s="832">
        <v>33</v>
      </c>
      <c r="C279" s="704">
        <f t="shared" ref="C279:H279" si="405">BE$61</f>
        <v>50</v>
      </c>
      <c r="D279" s="704" t="str">
        <f t="shared" si="405"/>
        <v>-</v>
      </c>
      <c r="E279" s="704" t="str">
        <f t="shared" si="405"/>
        <v>-</v>
      </c>
      <c r="F279" s="704" t="str">
        <f t="shared" si="405"/>
        <v>-</v>
      </c>
      <c r="G279" s="704">
        <f t="shared" si="405"/>
        <v>0</v>
      </c>
      <c r="H279" s="704">
        <f t="shared" si="405"/>
        <v>0</v>
      </c>
      <c r="I279" s="1466"/>
      <c r="K279" s="1467"/>
      <c r="L279" s="832">
        <v>33</v>
      </c>
      <c r="M279" s="704">
        <f t="shared" ref="M279:R279" si="406">BE$66</f>
        <v>650</v>
      </c>
      <c r="N279" s="704" t="str">
        <f t="shared" si="406"/>
        <v>-</v>
      </c>
      <c r="O279" s="704" t="str">
        <f t="shared" si="406"/>
        <v>-</v>
      </c>
      <c r="P279" s="704" t="str">
        <f t="shared" si="406"/>
        <v>-</v>
      </c>
      <c r="Q279" s="704">
        <f t="shared" si="406"/>
        <v>0</v>
      </c>
      <c r="R279" s="704">
        <f t="shared" si="406"/>
        <v>0</v>
      </c>
      <c r="S279" s="1466"/>
    </row>
    <row r="280" spans="1:19" hidden="1" x14ac:dyDescent="0.2">
      <c r="A280" s="1467"/>
      <c r="B280" s="832">
        <v>34</v>
      </c>
      <c r="C280" s="704">
        <f t="shared" ref="C280:H280" si="407">BE$75</f>
        <v>50</v>
      </c>
      <c r="D280" s="704" t="str">
        <f t="shared" si="407"/>
        <v>-</v>
      </c>
      <c r="E280" s="704" t="str">
        <f t="shared" si="407"/>
        <v>-</v>
      </c>
      <c r="F280" s="704" t="str">
        <f t="shared" si="407"/>
        <v>-</v>
      </c>
      <c r="G280" s="704">
        <f t="shared" si="407"/>
        <v>0</v>
      </c>
      <c r="H280" s="704">
        <f t="shared" si="407"/>
        <v>0</v>
      </c>
      <c r="I280" s="1466"/>
      <c r="K280" s="1467"/>
      <c r="L280" s="832">
        <v>34</v>
      </c>
      <c r="M280" s="704">
        <f t="shared" ref="M280:R280" si="408">BE$80</f>
        <v>650</v>
      </c>
      <c r="N280" s="704" t="str">
        <f t="shared" si="408"/>
        <v>-</v>
      </c>
      <c r="O280" s="704" t="str">
        <f t="shared" si="408"/>
        <v>-</v>
      </c>
      <c r="P280" s="704" t="str">
        <f t="shared" si="408"/>
        <v>-</v>
      </c>
      <c r="Q280" s="704">
        <f t="shared" si="408"/>
        <v>0</v>
      </c>
      <c r="R280" s="704">
        <f t="shared" si="408"/>
        <v>0</v>
      </c>
      <c r="S280" s="1466"/>
    </row>
    <row r="281" spans="1:19" hidden="1" x14ac:dyDescent="0.2">
      <c r="A281" s="535"/>
      <c r="B281" s="837"/>
      <c r="C281" s="569"/>
      <c r="D281" s="569"/>
      <c r="E281" s="569"/>
      <c r="F281" s="569"/>
      <c r="G281" s="569"/>
      <c r="H281" s="428"/>
      <c r="J281" s="535"/>
      <c r="K281" s="837"/>
      <c r="L281" s="569"/>
      <c r="M281" s="569"/>
      <c r="N281" s="569"/>
      <c r="O281" s="569"/>
      <c r="P281" s="569"/>
      <c r="Q281" s="428"/>
    </row>
    <row r="282" spans="1:19" hidden="1" x14ac:dyDescent="0.2">
      <c r="A282" s="535"/>
      <c r="B282" s="837"/>
      <c r="C282" s="569"/>
      <c r="D282" s="569"/>
      <c r="E282" s="569"/>
      <c r="F282" s="569"/>
      <c r="G282" s="569"/>
      <c r="H282" s="428"/>
      <c r="J282" s="535"/>
      <c r="K282" s="837"/>
      <c r="L282" s="569"/>
      <c r="M282" s="569"/>
      <c r="N282" s="569"/>
      <c r="O282" s="569"/>
      <c r="P282" s="569"/>
      <c r="Q282" s="428"/>
    </row>
    <row r="283" spans="1:19" hidden="1" x14ac:dyDescent="0.2">
      <c r="A283" s="462"/>
      <c r="B283" s="757"/>
      <c r="C283" s="458"/>
      <c r="D283" s="458"/>
      <c r="E283" s="458"/>
      <c r="F283" s="458"/>
      <c r="G283" s="458"/>
    </row>
    <row r="284" spans="1:19" ht="12.75" hidden="1" customHeight="1" x14ac:dyDescent="0.2">
      <c r="A284" s="1464" t="str">
        <f>A104</f>
        <v>No Urut Titik Ukur</v>
      </c>
      <c r="B284" s="1464"/>
      <c r="C284" s="1465" t="s">
        <v>425</v>
      </c>
      <c r="D284" s="1461" t="s">
        <v>415</v>
      </c>
      <c r="E284" s="1461"/>
      <c r="F284" s="1461"/>
      <c r="G284" s="838" t="s">
        <v>287</v>
      </c>
      <c r="H284" s="1465" t="s">
        <v>393</v>
      </c>
      <c r="I284" s="1436" t="s">
        <v>416</v>
      </c>
      <c r="K284" s="1464" t="str">
        <f>A284</f>
        <v>No Urut Titik Ukur</v>
      </c>
      <c r="L284" s="1464"/>
      <c r="M284" s="1465" t="s">
        <v>425</v>
      </c>
      <c r="N284" s="1461" t="s">
        <v>415</v>
      </c>
      <c r="O284" s="1461"/>
      <c r="P284" s="1461"/>
      <c r="Q284" s="838" t="s">
        <v>287</v>
      </c>
      <c r="R284" s="1465" t="s">
        <v>393</v>
      </c>
      <c r="S284" s="1436" t="s">
        <v>416</v>
      </c>
    </row>
    <row r="285" spans="1:19" ht="12.75" hidden="1" customHeight="1" x14ac:dyDescent="0.2">
      <c r="A285" s="1464"/>
      <c r="B285" s="1464"/>
      <c r="C285" s="1465"/>
      <c r="D285" s="1461"/>
      <c r="E285" s="1461"/>
      <c r="F285" s="1461"/>
      <c r="G285" s="838"/>
      <c r="H285" s="1465"/>
      <c r="I285" s="1436"/>
      <c r="K285" s="1464"/>
      <c r="L285" s="1464"/>
      <c r="M285" s="1465"/>
      <c r="N285" s="1461"/>
      <c r="O285" s="1461"/>
      <c r="P285" s="1461"/>
      <c r="Q285" s="838"/>
      <c r="R285" s="1465"/>
      <c r="S285" s="1436"/>
    </row>
    <row r="286" spans="1:19" ht="15" hidden="1" x14ac:dyDescent="0.2">
      <c r="A286" s="1464"/>
      <c r="B286" s="1464"/>
      <c r="C286" s="839" t="s">
        <v>404</v>
      </c>
      <c r="D286" s="831" t="s">
        <v>418</v>
      </c>
      <c r="E286" s="831" t="s">
        <v>419</v>
      </c>
      <c r="F286" s="570" t="s">
        <v>420</v>
      </c>
      <c r="G286" s="838"/>
      <c r="H286" s="1465"/>
      <c r="I286" s="1436"/>
      <c r="K286" s="1464"/>
      <c r="L286" s="1464"/>
      <c r="M286" s="839" t="s">
        <v>404</v>
      </c>
      <c r="N286" s="831" t="s">
        <v>418</v>
      </c>
      <c r="O286" s="831" t="s">
        <v>419</v>
      </c>
      <c r="P286" s="570" t="s">
        <v>420</v>
      </c>
      <c r="Q286" s="838"/>
      <c r="R286" s="1465"/>
      <c r="S286" s="1436"/>
    </row>
    <row r="287" spans="1:19" hidden="1" x14ac:dyDescent="0.2">
      <c r="A287" s="1435" t="s">
        <v>51</v>
      </c>
      <c r="B287" s="840">
        <v>1</v>
      </c>
      <c r="C287" s="705">
        <f>A$36</f>
        <v>5</v>
      </c>
      <c r="D287" s="705">
        <f t="shared" ref="D287:F287" si="409">B$36</f>
        <v>-0.05</v>
      </c>
      <c r="E287" s="705">
        <f t="shared" si="409"/>
        <v>-0.03</v>
      </c>
      <c r="F287" s="705" t="str">
        <f t="shared" si="409"/>
        <v>-</v>
      </c>
      <c r="G287" s="705">
        <f>E$36</f>
        <v>1.0000000000000002E-2</v>
      </c>
      <c r="H287" s="705">
        <f>F$36</f>
        <v>0.02</v>
      </c>
      <c r="I287" s="1436">
        <v>1</v>
      </c>
      <c r="K287" s="1435" t="s">
        <v>54</v>
      </c>
      <c r="L287" s="840">
        <v>1</v>
      </c>
      <c r="M287" s="705">
        <f t="shared" ref="M287:R287" si="410">A$39</f>
        <v>20</v>
      </c>
      <c r="N287" s="705">
        <f t="shared" si="410"/>
        <v>-0.06</v>
      </c>
      <c r="O287" s="705">
        <f t="shared" si="410"/>
        <v>-0.12</v>
      </c>
      <c r="P287" s="705" t="str">
        <f t="shared" si="410"/>
        <v>-</v>
      </c>
      <c r="Q287" s="705">
        <f t="shared" si="410"/>
        <v>0.03</v>
      </c>
      <c r="R287" s="705">
        <f t="shared" si="410"/>
        <v>0.02</v>
      </c>
      <c r="S287" s="1436">
        <v>1</v>
      </c>
    </row>
    <row r="288" spans="1:19" hidden="1" x14ac:dyDescent="0.2">
      <c r="A288" s="1435"/>
      <c r="B288" s="840">
        <v>2</v>
      </c>
      <c r="C288" s="705">
        <f>A$46</f>
        <v>5</v>
      </c>
      <c r="D288" s="705">
        <f t="shared" ref="D288:F288" si="411">B$46</f>
        <v>9.9999999999999995E-7</v>
      </c>
      <c r="E288" s="705">
        <f t="shared" si="411"/>
        <v>-0.02</v>
      </c>
      <c r="F288" s="705" t="str">
        <f t="shared" si="411"/>
        <v>-</v>
      </c>
      <c r="G288" s="705">
        <f>E$46</f>
        <v>1.0000500000000001E-2</v>
      </c>
      <c r="H288" s="705">
        <f>F$46</f>
        <v>0.02</v>
      </c>
      <c r="I288" s="1436"/>
      <c r="K288" s="1435"/>
      <c r="L288" s="840">
        <v>2</v>
      </c>
      <c r="M288" s="705">
        <f t="shared" ref="M288:R288" si="412">A$49</f>
        <v>20</v>
      </c>
      <c r="N288" s="705">
        <f t="shared" si="412"/>
        <v>-0.05</v>
      </c>
      <c r="O288" s="705">
        <f t="shared" si="412"/>
        <v>-0.02</v>
      </c>
      <c r="P288" s="705" t="str">
        <f t="shared" si="412"/>
        <v>-</v>
      </c>
      <c r="Q288" s="705">
        <f t="shared" si="412"/>
        <v>1.5000000000000001E-2</v>
      </c>
      <c r="R288" s="705">
        <f t="shared" si="412"/>
        <v>0.02</v>
      </c>
      <c r="S288" s="1436"/>
    </row>
    <row r="289" spans="1:19" hidden="1" x14ac:dyDescent="0.2">
      <c r="A289" s="1435"/>
      <c r="B289" s="840">
        <v>3</v>
      </c>
      <c r="C289" s="705">
        <f t="shared" ref="C289:H289" si="413">H$36</f>
        <v>5</v>
      </c>
      <c r="D289" s="705">
        <f t="shared" si="413"/>
        <v>0.01</v>
      </c>
      <c r="E289" s="705">
        <f t="shared" si="413"/>
        <v>-0.02</v>
      </c>
      <c r="F289" s="705" t="str">
        <f t="shared" si="413"/>
        <v>-</v>
      </c>
      <c r="G289" s="705">
        <f t="shared" si="413"/>
        <v>1.4999999999999999E-2</v>
      </c>
      <c r="H289" s="705">
        <f t="shared" si="413"/>
        <v>0.02</v>
      </c>
      <c r="I289" s="1436"/>
      <c r="K289" s="1435"/>
      <c r="L289" s="840">
        <v>3</v>
      </c>
      <c r="M289" s="705">
        <f t="shared" ref="M289:R289" si="414">H$39</f>
        <v>20</v>
      </c>
      <c r="N289" s="705">
        <f t="shared" si="414"/>
        <v>-0.02</v>
      </c>
      <c r="O289" s="705">
        <f t="shared" si="414"/>
        <v>-0.04</v>
      </c>
      <c r="P289" s="705" t="str">
        <f t="shared" si="414"/>
        <v>-</v>
      </c>
      <c r="Q289" s="705">
        <f t="shared" si="414"/>
        <v>0.01</v>
      </c>
      <c r="R289" s="705">
        <f t="shared" si="414"/>
        <v>0.02</v>
      </c>
      <c r="S289" s="1436"/>
    </row>
    <row r="290" spans="1:19" hidden="1" x14ac:dyDescent="0.2">
      <c r="A290" s="1435"/>
      <c r="B290" s="840">
        <v>4</v>
      </c>
      <c r="C290" s="705">
        <f t="shared" ref="C290:H290" si="415">H$46</f>
        <v>5</v>
      </c>
      <c r="D290" s="705">
        <f t="shared" si="415"/>
        <v>-0.01</v>
      </c>
      <c r="E290" s="705">
        <f t="shared" si="415"/>
        <v>-0.02</v>
      </c>
      <c r="F290" s="705" t="str">
        <f t="shared" si="415"/>
        <v>-</v>
      </c>
      <c r="G290" s="705">
        <f t="shared" si="415"/>
        <v>5.0000000000000001E-3</v>
      </c>
      <c r="H290" s="705">
        <f t="shared" si="415"/>
        <v>0.02</v>
      </c>
      <c r="I290" s="1436"/>
      <c r="K290" s="1435"/>
      <c r="L290" s="840">
        <v>4</v>
      </c>
      <c r="M290" s="705">
        <f t="shared" ref="M290:R290" si="416">H$49</f>
        <v>20</v>
      </c>
      <c r="N290" s="705">
        <f t="shared" si="416"/>
        <v>-0.1</v>
      </c>
      <c r="O290" s="705">
        <f t="shared" si="416"/>
        <v>-0.05</v>
      </c>
      <c r="P290" s="705" t="str">
        <f t="shared" si="416"/>
        <v>-</v>
      </c>
      <c r="Q290" s="705">
        <f t="shared" si="416"/>
        <v>2.5000000000000001E-2</v>
      </c>
      <c r="R290" s="705">
        <f t="shared" si="416"/>
        <v>0.02</v>
      </c>
      <c r="S290" s="1436"/>
    </row>
    <row r="291" spans="1:19" hidden="1" x14ac:dyDescent="0.2">
      <c r="A291" s="1435"/>
      <c r="B291" s="840">
        <v>5</v>
      </c>
      <c r="C291" s="705">
        <f t="shared" ref="C291:H291" si="417">O$36</f>
        <v>5</v>
      </c>
      <c r="D291" s="705">
        <f t="shared" si="417"/>
        <v>-0.09</v>
      </c>
      <c r="E291" s="705">
        <f t="shared" si="417"/>
        <v>0.01</v>
      </c>
      <c r="F291" s="705">
        <f t="shared" si="417"/>
        <v>9.9999999999999995E-7</v>
      </c>
      <c r="G291" s="705">
        <f t="shared" si="417"/>
        <v>4.9999999999999996E-2</v>
      </c>
      <c r="H291" s="705">
        <f t="shared" si="417"/>
        <v>0.05</v>
      </c>
      <c r="I291" s="841">
        <v>2</v>
      </c>
      <c r="K291" s="1435"/>
      <c r="L291" s="840">
        <v>5</v>
      </c>
      <c r="M291" s="705">
        <f t="shared" ref="M291:R291" si="418">O$39</f>
        <v>20</v>
      </c>
      <c r="N291" s="705">
        <f t="shared" si="418"/>
        <v>-0.13</v>
      </c>
      <c r="O291" s="705">
        <f t="shared" si="418"/>
        <v>-0.11</v>
      </c>
      <c r="P291" s="705">
        <f t="shared" si="418"/>
        <v>0.04</v>
      </c>
      <c r="Q291" s="705">
        <f t="shared" si="418"/>
        <v>8.5000000000000006E-2</v>
      </c>
      <c r="R291" s="705">
        <f t="shared" si="418"/>
        <v>0.05</v>
      </c>
      <c r="S291" s="841">
        <v>2</v>
      </c>
    </row>
    <row r="292" spans="1:19" hidden="1" x14ac:dyDescent="0.2">
      <c r="A292" s="1435"/>
      <c r="B292" s="840">
        <v>6</v>
      </c>
      <c r="C292" s="705">
        <f t="shared" ref="C292:H292" si="419">V$36</f>
        <v>9.9999999999999995E-7</v>
      </c>
      <c r="D292" s="705">
        <f t="shared" si="419"/>
        <v>9.9999999999999995E-7</v>
      </c>
      <c r="E292" s="705">
        <f t="shared" si="419"/>
        <v>9.9999999999999995E-7</v>
      </c>
      <c r="F292" s="705">
        <f t="shared" si="419"/>
        <v>9.9999999999999995E-7</v>
      </c>
      <c r="G292" s="705">
        <f t="shared" si="419"/>
        <v>9.9999999999999995E-7</v>
      </c>
      <c r="H292" s="705">
        <f t="shared" si="419"/>
        <v>0.05</v>
      </c>
      <c r="I292" s="1436">
        <v>3</v>
      </c>
      <c r="K292" s="1435"/>
      <c r="L292" s="840">
        <v>6</v>
      </c>
      <c r="M292" s="705">
        <f t="shared" ref="M292:R292" si="420">V$39</f>
        <v>15</v>
      </c>
      <c r="N292" s="705">
        <f t="shared" si="420"/>
        <v>-0.04</v>
      </c>
      <c r="O292" s="705">
        <f t="shared" si="420"/>
        <v>-0.18</v>
      </c>
      <c r="P292" s="705">
        <f t="shared" si="420"/>
        <v>-0.02</v>
      </c>
      <c r="Q292" s="705">
        <f t="shared" si="420"/>
        <v>0.08</v>
      </c>
      <c r="R292" s="705">
        <f t="shared" si="420"/>
        <v>0.05</v>
      </c>
      <c r="S292" s="1436">
        <v>3</v>
      </c>
    </row>
    <row r="293" spans="1:19" hidden="1" x14ac:dyDescent="0.2">
      <c r="A293" s="1435"/>
      <c r="B293" s="840">
        <v>7</v>
      </c>
      <c r="C293" s="705">
        <f t="shared" ref="C293:H293" si="421">V$46</f>
        <v>9.9999999999999995E-7</v>
      </c>
      <c r="D293" s="705">
        <f t="shared" si="421"/>
        <v>9.9999999999999995E-7</v>
      </c>
      <c r="E293" s="705">
        <f t="shared" si="421"/>
        <v>9.9999999999999995E-7</v>
      </c>
      <c r="F293" s="705">
        <f t="shared" si="421"/>
        <v>9.9999999999999995E-7</v>
      </c>
      <c r="G293" s="705">
        <f t="shared" si="421"/>
        <v>9.9999999999999995E-7</v>
      </c>
      <c r="H293" s="705">
        <f t="shared" si="421"/>
        <v>0.05</v>
      </c>
      <c r="I293" s="1436"/>
      <c r="K293" s="1435"/>
      <c r="L293" s="840">
        <v>7</v>
      </c>
      <c r="M293" s="705">
        <f t="shared" ref="M293:R293" si="422">V$49</f>
        <v>15</v>
      </c>
      <c r="N293" s="705">
        <f t="shared" si="422"/>
        <v>-0.1</v>
      </c>
      <c r="O293" s="705">
        <f t="shared" si="422"/>
        <v>-0.01</v>
      </c>
      <c r="P293" s="705">
        <f t="shared" si="422"/>
        <v>-0.02</v>
      </c>
      <c r="Q293" s="705">
        <f t="shared" si="422"/>
        <v>4.5000000000000005E-2</v>
      </c>
      <c r="R293" s="705">
        <f t="shared" si="422"/>
        <v>0.05</v>
      </c>
      <c r="S293" s="1436"/>
    </row>
    <row r="294" spans="1:19" hidden="1" x14ac:dyDescent="0.2">
      <c r="A294" s="1435"/>
      <c r="B294" s="840">
        <v>8</v>
      </c>
      <c r="C294" s="705">
        <f t="shared" ref="C294:H294" si="423">AC$36</f>
        <v>9.9999999999999995E-7</v>
      </c>
      <c r="D294" s="705">
        <f t="shared" si="423"/>
        <v>9.9999999999999995E-7</v>
      </c>
      <c r="E294" s="705">
        <f t="shared" si="423"/>
        <v>9.9999999999999995E-7</v>
      </c>
      <c r="F294" s="705">
        <f t="shared" si="423"/>
        <v>9.9999999999999995E-7</v>
      </c>
      <c r="G294" s="705">
        <f t="shared" si="423"/>
        <v>9.9999999999999995E-7</v>
      </c>
      <c r="H294" s="705">
        <f t="shared" si="423"/>
        <v>0.05</v>
      </c>
      <c r="I294" s="1436"/>
      <c r="K294" s="1435"/>
      <c r="L294" s="840">
        <v>8</v>
      </c>
      <c r="M294" s="705">
        <f t="shared" ref="M294:R294" si="424">AC$39</f>
        <v>15</v>
      </c>
      <c r="N294" s="705">
        <f t="shared" si="424"/>
        <v>-0.1</v>
      </c>
      <c r="O294" s="705">
        <f t="shared" si="424"/>
        <v>-0.13</v>
      </c>
      <c r="P294" s="705">
        <f t="shared" si="424"/>
        <v>-0.02</v>
      </c>
      <c r="Q294" s="705">
        <f t="shared" si="424"/>
        <v>5.5E-2</v>
      </c>
      <c r="R294" s="705">
        <f t="shared" si="424"/>
        <v>0.05</v>
      </c>
      <c r="S294" s="1436"/>
    </row>
    <row r="295" spans="1:19" hidden="1" x14ac:dyDescent="0.2">
      <c r="A295" s="1435"/>
      <c r="B295" s="840">
        <v>9</v>
      </c>
      <c r="C295" s="705">
        <f t="shared" ref="C295:H295" si="425">AC$46</f>
        <v>9.9999999999999995E-7</v>
      </c>
      <c r="D295" s="705">
        <f t="shared" si="425"/>
        <v>9.9999999999999995E-7</v>
      </c>
      <c r="E295" s="705">
        <f t="shared" si="425"/>
        <v>9.9999999999999995E-7</v>
      </c>
      <c r="F295" s="705">
        <f t="shared" si="425"/>
        <v>9.9999999999999995E-7</v>
      </c>
      <c r="G295" s="705">
        <f t="shared" si="425"/>
        <v>9.9999999999999995E-7</v>
      </c>
      <c r="H295" s="705">
        <f t="shared" si="425"/>
        <v>0.05</v>
      </c>
      <c r="I295" s="1436"/>
      <c r="K295" s="1435"/>
      <c r="L295" s="840">
        <v>9</v>
      </c>
      <c r="M295" s="705">
        <f t="shared" ref="M295:R295" si="426">AC$49</f>
        <v>15</v>
      </c>
      <c r="N295" s="705">
        <f t="shared" si="426"/>
        <v>0.09</v>
      </c>
      <c r="O295" s="705">
        <f t="shared" si="426"/>
        <v>0.14000000000000001</v>
      </c>
      <c r="P295" s="705">
        <f t="shared" si="426"/>
        <v>-0.02</v>
      </c>
      <c r="Q295" s="705">
        <f t="shared" si="426"/>
        <v>0.08</v>
      </c>
      <c r="R295" s="705">
        <f t="shared" si="426"/>
        <v>0.05</v>
      </c>
      <c r="S295" s="1436"/>
    </row>
    <row r="296" spans="1:19" hidden="1" x14ac:dyDescent="0.2">
      <c r="A296" s="1435"/>
      <c r="B296" s="840">
        <v>10</v>
      </c>
      <c r="C296" s="705">
        <f>A$87</f>
        <v>0</v>
      </c>
      <c r="D296" s="705">
        <f t="shared" ref="D296:F296" si="427">B$87</f>
        <v>9.9999999999999995E-7</v>
      </c>
      <c r="E296" s="705" t="str">
        <f t="shared" si="427"/>
        <v>-</v>
      </c>
      <c r="F296" s="705" t="str">
        <f t="shared" si="427"/>
        <v>-</v>
      </c>
      <c r="G296" s="705">
        <f>E$87</f>
        <v>9.9999999999999995E-7</v>
      </c>
      <c r="H296" s="705">
        <f>F$87</f>
        <v>0.02</v>
      </c>
      <c r="I296" s="1436">
        <v>4</v>
      </c>
      <c r="K296" s="1435"/>
      <c r="L296" s="840">
        <v>10</v>
      </c>
      <c r="M296" s="705">
        <f t="shared" ref="M296:R296" si="428">A$91</f>
        <v>25</v>
      </c>
      <c r="N296" s="705">
        <f t="shared" si="428"/>
        <v>0.03</v>
      </c>
      <c r="O296" s="705" t="str">
        <f t="shared" si="428"/>
        <v>-</v>
      </c>
      <c r="P296" s="705" t="str">
        <f t="shared" si="428"/>
        <v>-</v>
      </c>
      <c r="Q296" s="705">
        <f t="shared" si="428"/>
        <v>0</v>
      </c>
      <c r="R296" s="705">
        <f t="shared" si="428"/>
        <v>0.02</v>
      </c>
      <c r="S296" s="1436">
        <v>4</v>
      </c>
    </row>
    <row r="297" spans="1:19" hidden="1" x14ac:dyDescent="0.2">
      <c r="A297" s="1435"/>
      <c r="B297" s="840">
        <v>11</v>
      </c>
      <c r="C297" s="705">
        <f>A$97</f>
        <v>0</v>
      </c>
      <c r="D297" s="705">
        <f t="shared" ref="D297:F297" si="429">B$97</f>
        <v>9.9999999999999995E-7</v>
      </c>
      <c r="E297" s="705" t="str">
        <f t="shared" si="429"/>
        <v>-</v>
      </c>
      <c r="F297" s="705" t="str">
        <f t="shared" si="429"/>
        <v>-</v>
      </c>
      <c r="G297" s="705">
        <f>E$97</f>
        <v>9.9999999999999995E-7</v>
      </c>
      <c r="H297" s="705">
        <f>F$97</f>
        <v>0.02</v>
      </c>
      <c r="I297" s="1436"/>
      <c r="K297" s="1435"/>
      <c r="L297" s="840">
        <v>11</v>
      </c>
      <c r="M297" s="705">
        <f t="shared" ref="M297:R297" si="430">A$101</f>
        <v>25</v>
      </c>
      <c r="N297" s="705">
        <f t="shared" si="430"/>
        <v>-0.03</v>
      </c>
      <c r="O297" s="705" t="str">
        <f t="shared" si="430"/>
        <v>-</v>
      </c>
      <c r="P297" s="705" t="str">
        <f t="shared" si="430"/>
        <v>-</v>
      </c>
      <c r="Q297" s="705">
        <f t="shared" si="430"/>
        <v>0</v>
      </c>
      <c r="R297" s="705">
        <f t="shared" si="430"/>
        <v>0.02</v>
      </c>
      <c r="S297" s="1436"/>
    </row>
    <row r="298" spans="1:19" hidden="1" x14ac:dyDescent="0.2">
      <c r="A298" s="1435"/>
      <c r="B298" s="840">
        <v>12</v>
      </c>
      <c r="C298" s="705">
        <f t="shared" ref="C298:H298" si="431">H$87</f>
        <v>0</v>
      </c>
      <c r="D298" s="705">
        <f t="shared" si="431"/>
        <v>9.9999999999999995E-7</v>
      </c>
      <c r="E298" s="705" t="str">
        <f t="shared" si="431"/>
        <v>-</v>
      </c>
      <c r="F298" s="705" t="str">
        <f t="shared" si="431"/>
        <v>-</v>
      </c>
      <c r="G298" s="705">
        <f t="shared" si="431"/>
        <v>9.9999999999999995E-7</v>
      </c>
      <c r="H298" s="705">
        <f t="shared" si="431"/>
        <v>0.02</v>
      </c>
      <c r="I298" s="1436"/>
      <c r="K298" s="1435"/>
      <c r="L298" s="840">
        <v>12</v>
      </c>
      <c r="M298" s="705">
        <f t="shared" ref="M298:R298" si="432">H$91</f>
        <v>25</v>
      </c>
      <c r="N298" s="705">
        <f t="shared" si="432"/>
        <v>0.02</v>
      </c>
      <c r="O298" s="705" t="str">
        <f t="shared" si="432"/>
        <v>-</v>
      </c>
      <c r="P298" s="705" t="str">
        <f t="shared" si="432"/>
        <v>-</v>
      </c>
      <c r="Q298" s="705">
        <f t="shared" si="432"/>
        <v>0</v>
      </c>
      <c r="R298" s="705">
        <f t="shared" si="432"/>
        <v>0.02</v>
      </c>
      <c r="S298" s="1436"/>
    </row>
    <row r="299" spans="1:19" hidden="1" x14ac:dyDescent="0.2">
      <c r="A299" s="1435"/>
      <c r="B299" s="840">
        <v>13</v>
      </c>
      <c r="C299" s="705">
        <f t="shared" ref="C299:H299" si="433">H$97</f>
        <v>0</v>
      </c>
      <c r="D299" s="705">
        <f t="shared" si="433"/>
        <v>9.9999999999999995E-7</v>
      </c>
      <c r="E299" s="705" t="str">
        <f t="shared" si="433"/>
        <v>-</v>
      </c>
      <c r="F299" s="705" t="str">
        <f t="shared" si="433"/>
        <v>-</v>
      </c>
      <c r="G299" s="705">
        <f t="shared" si="433"/>
        <v>9.9999999999999995E-7</v>
      </c>
      <c r="H299" s="705">
        <f t="shared" si="433"/>
        <v>0.03</v>
      </c>
      <c r="I299" s="1436"/>
      <c r="K299" s="1435"/>
      <c r="L299" s="840">
        <v>13</v>
      </c>
      <c r="M299" s="705">
        <f t="shared" ref="M299:R299" si="434">H$101</f>
        <v>25</v>
      </c>
      <c r="N299" s="705">
        <f t="shared" si="434"/>
        <v>0.03</v>
      </c>
      <c r="O299" s="705" t="str">
        <f t="shared" si="434"/>
        <v>-</v>
      </c>
      <c r="P299" s="705" t="str">
        <f t="shared" si="434"/>
        <v>-</v>
      </c>
      <c r="Q299" s="705">
        <f t="shared" si="434"/>
        <v>0</v>
      </c>
      <c r="R299" s="705">
        <f t="shared" si="434"/>
        <v>0.03</v>
      </c>
      <c r="S299" s="1436"/>
    </row>
    <row r="300" spans="1:19" hidden="1" x14ac:dyDescent="0.2">
      <c r="A300" s="1435"/>
      <c r="B300" s="840">
        <v>14</v>
      </c>
      <c r="C300" s="705">
        <f t="shared" ref="C300:H300" si="435">O$87</f>
        <v>0</v>
      </c>
      <c r="D300" s="705" t="str">
        <f t="shared" si="435"/>
        <v>-</v>
      </c>
      <c r="E300" s="705" t="str">
        <f t="shared" si="435"/>
        <v>-</v>
      </c>
      <c r="F300" s="705">
        <f t="shared" si="435"/>
        <v>0</v>
      </c>
      <c r="G300" s="705">
        <f t="shared" si="435"/>
        <v>9.9999999999999995E-7</v>
      </c>
      <c r="H300" s="705">
        <f t="shared" si="435"/>
        <v>0.11</v>
      </c>
      <c r="I300" s="841">
        <v>5</v>
      </c>
      <c r="K300" s="1435"/>
      <c r="L300" s="840">
        <v>14</v>
      </c>
      <c r="M300" s="705">
        <f t="shared" ref="M300:R300" si="436">O$90</f>
        <v>0</v>
      </c>
      <c r="N300" s="705" t="str">
        <f t="shared" si="436"/>
        <v>-</v>
      </c>
      <c r="O300" s="705" t="str">
        <f t="shared" si="436"/>
        <v>-</v>
      </c>
      <c r="P300" s="705">
        <f t="shared" si="436"/>
        <v>0</v>
      </c>
      <c r="Q300" s="705">
        <f t="shared" si="436"/>
        <v>0</v>
      </c>
      <c r="R300" s="705">
        <f t="shared" si="436"/>
        <v>0.11</v>
      </c>
      <c r="S300" s="841">
        <v>5</v>
      </c>
    </row>
    <row r="301" spans="1:19" hidden="1" x14ac:dyDescent="0.2">
      <c r="A301" s="1435"/>
      <c r="B301" s="840">
        <v>15</v>
      </c>
      <c r="C301" s="705">
        <f t="shared" ref="C301:H301" si="437">V$87</f>
        <v>0</v>
      </c>
      <c r="D301" s="705">
        <f t="shared" si="437"/>
        <v>9.9999999999999995E-7</v>
      </c>
      <c r="E301" s="705">
        <f t="shared" si="437"/>
        <v>9.9999999999999995E-7</v>
      </c>
      <c r="F301" s="705" t="str">
        <f t="shared" si="437"/>
        <v>-</v>
      </c>
      <c r="G301" s="705">
        <f t="shared" si="437"/>
        <v>9.9999999999999995E-7</v>
      </c>
      <c r="H301" s="705">
        <f t="shared" si="437"/>
        <v>0.02</v>
      </c>
      <c r="I301" s="1436">
        <v>6</v>
      </c>
      <c r="K301" s="1435"/>
      <c r="L301" s="840">
        <v>15</v>
      </c>
      <c r="M301" s="705">
        <f t="shared" ref="M301:R301" si="438">V$90</f>
        <v>15</v>
      </c>
      <c r="N301" s="705">
        <f t="shared" si="438"/>
        <v>0.04</v>
      </c>
      <c r="O301" s="705">
        <f t="shared" si="438"/>
        <v>-0.03</v>
      </c>
      <c r="P301" s="705" t="str">
        <f t="shared" si="438"/>
        <v>-</v>
      </c>
      <c r="Q301" s="705">
        <f t="shared" si="438"/>
        <v>3.5000000000000003E-2</v>
      </c>
      <c r="R301" s="705">
        <f t="shared" si="438"/>
        <v>0.02</v>
      </c>
      <c r="S301" s="1436">
        <v>6</v>
      </c>
    </row>
    <row r="302" spans="1:19" hidden="1" x14ac:dyDescent="0.2">
      <c r="A302" s="1435"/>
      <c r="B302" s="840">
        <v>16</v>
      </c>
      <c r="C302" s="705">
        <f t="shared" ref="C302:H302" si="439">V$97</f>
        <v>0</v>
      </c>
      <c r="D302" s="705">
        <f t="shared" si="439"/>
        <v>9.9999999999999995E-7</v>
      </c>
      <c r="E302" s="705">
        <f t="shared" si="439"/>
        <v>9.9999999999999995E-7</v>
      </c>
      <c r="F302" s="705" t="str">
        <f t="shared" si="439"/>
        <v>-</v>
      </c>
      <c r="G302" s="705">
        <f t="shared" si="439"/>
        <v>9.9999999999999995E-7</v>
      </c>
      <c r="H302" s="705">
        <f t="shared" si="439"/>
        <v>0.02</v>
      </c>
      <c r="I302" s="1436"/>
      <c r="K302" s="1435"/>
      <c r="L302" s="840">
        <v>16</v>
      </c>
      <c r="M302" s="705">
        <f t="shared" ref="M302:R302" si="440">V$100</f>
        <v>15</v>
      </c>
      <c r="N302" s="705">
        <f t="shared" si="440"/>
        <v>0.02</v>
      </c>
      <c r="O302" s="705">
        <f t="shared" si="440"/>
        <v>-0.01</v>
      </c>
      <c r="P302" s="705" t="str">
        <f t="shared" si="440"/>
        <v>-</v>
      </c>
      <c r="Q302" s="705">
        <f t="shared" si="440"/>
        <v>1.4999999999999999E-2</v>
      </c>
      <c r="R302" s="705">
        <f t="shared" si="440"/>
        <v>0.02</v>
      </c>
      <c r="S302" s="1436"/>
    </row>
    <row r="303" spans="1:19" hidden="1" x14ac:dyDescent="0.2">
      <c r="A303" s="1435"/>
      <c r="B303" s="840">
        <v>17</v>
      </c>
      <c r="C303" s="705">
        <f t="shared" ref="C303:H303" si="441">AC$87</f>
        <v>0</v>
      </c>
      <c r="D303" s="705">
        <f t="shared" si="441"/>
        <v>9.9999999999999995E-7</v>
      </c>
      <c r="E303" s="705">
        <f t="shared" si="441"/>
        <v>9.9999999999999995E-7</v>
      </c>
      <c r="F303" s="705" t="str">
        <f t="shared" si="441"/>
        <v>-</v>
      </c>
      <c r="G303" s="705">
        <f t="shared" si="441"/>
        <v>9.9999999999999995E-7</v>
      </c>
      <c r="H303" s="705">
        <f t="shared" si="441"/>
        <v>0.02</v>
      </c>
      <c r="I303" s="1436"/>
      <c r="K303" s="1435"/>
      <c r="L303" s="840">
        <v>17</v>
      </c>
      <c r="M303" s="705">
        <f t="shared" ref="M303:R303" si="442">AC$90</f>
        <v>15</v>
      </c>
      <c r="N303" s="705">
        <f t="shared" si="442"/>
        <v>-0.02</v>
      </c>
      <c r="O303" s="705">
        <f t="shared" si="442"/>
        <v>-0.01</v>
      </c>
      <c r="P303" s="705" t="str">
        <f t="shared" si="442"/>
        <v>-</v>
      </c>
      <c r="Q303" s="705">
        <f t="shared" si="442"/>
        <v>5.0000000000000001E-3</v>
      </c>
      <c r="R303" s="705">
        <f t="shared" si="442"/>
        <v>0.02</v>
      </c>
      <c r="S303" s="1436"/>
    </row>
    <row r="304" spans="1:19" hidden="1" x14ac:dyDescent="0.2">
      <c r="A304" s="1435"/>
      <c r="B304" s="840">
        <v>18</v>
      </c>
      <c r="C304" s="705">
        <f t="shared" ref="C304:H304" si="443">AC$97</f>
        <v>0</v>
      </c>
      <c r="D304" s="705">
        <f t="shared" si="443"/>
        <v>9.9999999999999995E-7</v>
      </c>
      <c r="E304" s="705">
        <f t="shared" si="443"/>
        <v>9.9999999999999995E-7</v>
      </c>
      <c r="F304" s="705" t="str">
        <f t="shared" si="443"/>
        <v>-</v>
      </c>
      <c r="G304" s="705">
        <f t="shared" si="443"/>
        <v>9.9999999999999995E-7</v>
      </c>
      <c r="H304" s="705">
        <f t="shared" si="443"/>
        <v>0.02</v>
      </c>
      <c r="I304" s="1436"/>
      <c r="K304" s="1435"/>
      <c r="L304" s="840">
        <v>18</v>
      </c>
      <c r="M304" s="705">
        <f t="shared" ref="M304:R304" si="444">AC$100</f>
        <v>15</v>
      </c>
      <c r="N304" s="705">
        <f t="shared" si="444"/>
        <v>-7.0000000000000007E-2</v>
      </c>
      <c r="O304" s="705">
        <f t="shared" si="444"/>
        <v>-0.01</v>
      </c>
      <c r="P304" s="705" t="str">
        <f t="shared" si="444"/>
        <v>-</v>
      </c>
      <c r="Q304" s="705">
        <f t="shared" si="444"/>
        <v>3.0000000000000002E-2</v>
      </c>
      <c r="R304" s="705">
        <f t="shared" si="444"/>
        <v>0.02</v>
      </c>
      <c r="S304" s="1436"/>
    </row>
    <row r="305" spans="1:19" hidden="1" x14ac:dyDescent="0.2">
      <c r="A305" s="1435"/>
      <c r="B305" s="840">
        <v>19</v>
      </c>
      <c r="C305" s="705">
        <f t="shared" ref="C305:H305" si="445">AJ$36</f>
        <v>9.9999999999999995E-7</v>
      </c>
      <c r="D305" s="705">
        <f t="shared" si="445"/>
        <v>9.9999999999999995E-7</v>
      </c>
      <c r="E305" s="705">
        <f t="shared" si="445"/>
        <v>9.9999999999999995E-7</v>
      </c>
      <c r="F305" s="705" t="str">
        <f t="shared" si="445"/>
        <v>-</v>
      </c>
      <c r="G305" s="705">
        <f t="shared" si="445"/>
        <v>9.9999999999999995E-7</v>
      </c>
      <c r="H305" s="705">
        <f t="shared" si="445"/>
        <v>0.05</v>
      </c>
      <c r="I305" s="1436">
        <v>7</v>
      </c>
      <c r="K305" s="1435"/>
      <c r="L305" s="840">
        <v>19</v>
      </c>
      <c r="M305" s="705">
        <f t="shared" ref="M305:R305" si="446">AJ$39</f>
        <v>15</v>
      </c>
      <c r="N305" s="705">
        <f t="shared" si="446"/>
        <v>-0.03</v>
      </c>
      <c r="O305" s="705">
        <f t="shared" si="446"/>
        <v>-0.03</v>
      </c>
      <c r="P305" s="705" t="str">
        <f t="shared" si="446"/>
        <v>-</v>
      </c>
      <c r="Q305" s="705">
        <f t="shared" si="446"/>
        <v>0</v>
      </c>
      <c r="R305" s="705">
        <f t="shared" si="446"/>
        <v>0.05</v>
      </c>
      <c r="S305" s="1436">
        <v>7</v>
      </c>
    </row>
    <row r="306" spans="1:19" hidden="1" x14ac:dyDescent="0.2">
      <c r="A306" s="1435"/>
      <c r="B306" s="840">
        <v>20</v>
      </c>
      <c r="C306" s="705">
        <f t="shared" ref="C306:H306" si="447">AJ$46</f>
        <v>9.9999999999999995E-7</v>
      </c>
      <c r="D306" s="705">
        <f t="shared" si="447"/>
        <v>9.9999999999999995E-7</v>
      </c>
      <c r="E306" s="705">
        <f t="shared" si="447"/>
        <v>9.9999999999999995E-7</v>
      </c>
      <c r="F306" s="705" t="str">
        <f t="shared" si="447"/>
        <v>-</v>
      </c>
      <c r="G306" s="705">
        <f t="shared" si="447"/>
        <v>9.9999999999999995E-7</v>
      </c>
      <c r="H306" s="705">
        <f t="shared" si="447"/>
        <v>0.06</v>
      </c>
      <c r="I306" s="1436"/>
      <c r="K306" s="1435"/>
      <c r="L306" s="840">
        <v>20</v>
      </c>
      <c r="M306" s="705">
        <f t="shared" ref="M306:R306" si="448">AJ$49</f>
        <v>15</v>
      </c>
      <c r="N306" s="705">
        <f t="shared" si="448"/>
        <v>-0.12</v>
      </c>
      <c r="O306" s="705">
        <f t="shared" si="448"/>
        <v>-0.11</v>
      </c>
      <c r="P306" s="705" t="str">
        <f t="shared" si="448"/>
        <v>-</v>
      </c>
      <c r="Q306" s="705">
        <f t="shared" si="448"/>
        <v>4.9999999999999975E-3</v>
      </c>
      <c r="R306" s="705">
        <f t="shared" si="448"/>
        <v>0.06</v>
      </c>
      <c r="S306" s="1436"/>
    </row>
    <row r="307" spans="1:19" hidden="1" x14ac:dyDescent="0.2">
      <c r="A307" s="1435"/>
      <c r="B307" s="840">
        <v>21</v>
      </c>
      <c r="C307" s="705">
        <f t="shared" ref="C307:H307" si="449">AQ$36</f>
        <v>9.9999999999999995E-7</v>
      </c>
      <c r="D307" s="705">
        <f t="shared" si="449"/>
        <v>9.9999999999999995E-7</v>
      </c>
      <c r="E307" s="705">
        <f t="shared" si="449"/>
        <v>9.9999999999999995E-7</v>
      </c>
      <c r="F307" s="705" t="str">
        <f t="shared" si="449"/>
        <v>-</v>
      </c>
      <c r="G307" s="705">
        <f t="shared" si="449"/>
        <v>9.9999999999999995E-7</v>
      </c>
      <c r="H307" s="705">
        <f t="shared" si="449"/>
        <v>0.05</v>
      </c>
      <c r="I307" s="1436"/>
      <c r="K307" s="1435"/>
      <c r="L307" s="840">
        <v>21</v>
      </c>
      <c r="M307" s="705">
        <f t="shared" ref="M307:R307" si="450">AQ$39</f>
        <v>15</v>
      </c>
      <c r="N307" s="705">
        <f t="shared" si="450"/>
        <v>-0.11</v>
      </c>
      <c r="O307" s="705">
        <f t="shared" si="450"/>
        <v>-0.12</v>
      </c>
      <c r="P307" s="705" t="str">
        <f t="shared" si="450"/>
        <v>-</v>
      </c>
      <c r="Q307" s="705">
        <f t="shared" si="450"/>
        <v>4.9999999999999975E-3</v>
      </c>
      <c r="R307" s="705">
        <f t="shared" si="450"/>
        <v>0.05</v>
      </c>
      <c r="S307" s="1436"/>
    </row>
    <row r="308" spans="1:19" hidden="1" x14ac:dyDescent="0.2">
      <c r="A308" s="1435"/>
      <c r="B308" s="840">
        <v>22</v>
      </c>
      <c r="C308" s="705">
        <f t="shared" ref="C308:H308" si="451">AQ$46</f>
        <v>9.9999999999999995E-7</v>
      </c>
      <c r="D308" s="705">
        <f t="shared" si="451"/>
        <v>9.9999999999999995E-7</v>
      </c>
      <c r="E308" s="705">
        <f t="shared" si="451"/>
        <v>9.9999999999999995E-7</v>
      </c>
      <c r="F308" s="705" t="str">
        <f t="shared" si="451"/>
        <v>-</v>
      </c>
      <c r="G308" s="705">
        <f t="shared" si="451"/>
        <v>9.9999999999999995E-7</v>
      </c>
      <c r="H308" s="705">
        <f t="shared" si="451"/>
        <v>0.06</v>
      </c>
      <c r="I308" s="1436"/>
      <c r="K308" s="1435"/>
      <c r="L308" s="840">
        <v>22</v>
      </c>
      <c r="M308" s="705">
        <f t="shared" ref="M308:R308" si="452">AQ$49</f>
        <v>15</v>
      </c>
      <c r="N308" s="705">
        <f t="shared" si="452"/>
        <v>-0.08</v>
      </c>
      <c r="O308" s="705">
        <f t="shared" si="452"/>
        <v>-0.1</v>
      </c>
      <c r="P308" s="705" t="str">
        <f t="shared" si="452"/>
        <v>-</v>
      </c>
      <c r="Q308" s="705">
        <f t="shared" si="452"/>
        <v>1.0000000000000002E-2</v>
      </c>
      <c r="R308" s="705">
        <f t="shared" si="452"/>
        <v>0.06</v>
      </c>
      <c r="S308" s="1436"/>
    </row>
    <row r="309" spans="1:19" hidden="1" x14ac:dyDescent="0.2">
      <c r="A309" s="1435"/>
      <c r="B309" s="840">
        <v>23</v>
      </c>
      <c r="C309" s="705">
        <f t="shared" ref="C309:H309" si="453">AJ$87</f>
        <v>0</v>
      </c>
      <c r="D309" s="705">
        <f t="shared" si="453"/>
        <v>9.9999999999999995E-7</v>
      </c>
      <c r="E309" s="705">
        <f t="shared" si="453"/>
        <v>9.9999999999999995E-7</v>
      </c>
      <c r="F309" s="705" t="str">
        <f t="shared" si="453"/>
        <v>-</v>
      </c>
      <c r="G309" s="705">
        <f t="shared" si="453"/>
        <v>9.9999999999999995E-7</v>
      </c>
      <c r="H309" s="705">
        <f t="shared" si="453"/>
        <v>0.05</v>
      </c>
      <c r="I309" s="1436">
        <v>8</v>
      </c>
      <c r="K309" s="1435"/>
      <c r="L309" s="840">
        <v>23</v>
      </c>
      <c r="M309" s="705">
        <f t="shared" ref="M309:R309" si="454">AJ$90</f>
        <v>15</v>
      </c>
      <c r="N309" s="705">
        <f t="shared" si="454"/>
        <v>-0.12</v>
      </c>
      <c r="O309" s="705">
        <f t="shared" si="454"/>
        <v>-0.06</v>
      </c>
      <c r="P309" s="705" t="str">
        <f t="shared" si="454"/>
        <v>-</v>
      </c>
      <c r="Q309" s="705">
        <f t="shared" si="454"/>
        <v>0.03</v>
      </c>
      <c r="R309" s="705">
        <f t="shared" si="454"/>
        <v>0.05</v>
      </c>
      <c r="S309" s="1436">
        <v>8</v>
      </c>
    </row>
    <row r="310" spans="1:19" hidden="1" x14ac:dyDescent="0.2">
      <c r="A310" s="1435"/>
      <c r="B310" s="840">
        <v>24</v>
      </c>
      <c r="C310" s="705">
        <f t="shared" ref="C310:H310" si="455">AJ$97</f>
        <v>0</v>
      </c>
      <c r="D310" s="705">
        <f t="shared" si="455"/>
        <v>9.9999999999999995E-7</v>
      </c>
      <c r="E310" s="705">
        <f t="shared" si="455"/>
        <v>9.9999999999999995E-7</v>
      </c>
      <c r="F310" s="705" t="str">
        <f t="shared" si="455"/>
        <v>-</v>
      </c>
      <c r="G310" s="705">
        <f t="shared" si="455"/>
        <v>9.9999999999999995E-7</v>
      </c>
      <c r="H310" s="705">
        <f t="shared" si="455"/>
        <v>0.05</v>
      </c>
      <c r="I310" s="1436"/>
      <c r="K310" s="1435"/>
      <c r="L310" s="840">
        <v>24</v>
      </c>
      <c r="M310" s="705">
        <f t="shared" ref="M310:R310" si="456">AJ$100</f>
        <v>15</v>
      </c>
      <c r="N310" s="705">
        <f t="shared" si="456"/>
        <v>-0.08</v>
      </c>
      <c r="O310" s="705">
        <f t="shared" si="456"/>
        <v>-0.09</v>
      </c>
      <c r="P310" s="705" t="str">
        <f t="shared" si="456"/>
        <v>-</v>
      </c>
      <c r="Q310" s="705">
        <f t="shared" si="456"/>
        <v>4.9999999999999975E-3</v>
      </c>
      <c r="R310" s="705">
        <f t="shared" si="456"/>
        <v>0.05</v>
      </c>
      <c r="S310" s="1436"/>
    </row>
    <row r="311" spans="1:19" hidden="1" x14ac:dyDescent="0.2">
      <c r="A311" s="1435"/>
      <c r="B311" s="840">
        <v>25</v>
      </c>
      <c r="C311" s="705">
        <f t="shared" ref="C311:H311" si="457">AQ$87</f>
        <v>0</v>
      </c>
      <c r="D311" s="705">
        <f t="shared" si="457"/>
        <v>9.9999999999999995E-7</v>
      </c>
      <c r="E311" s="705">
        <f t="shared" si="457"/>
        <v>9.9999999999999995E-7</v>
      </c>
      <c r="F311" s="705" t="str">
        <f t="shared" si="457"/>
        <v>-</v>
      </c>
      <c r="G311" s="705">
        <f t="shared" si="457"/>
        <v>9.9999999999999995E-7</v>
      </c>
      <c r="H311" s="705">
        <f t="shared" si="457"/>
        <v>0.05</v>
      </c>
      <c r="I311" s="1436"/>
      <c r="K311" s="1435"/>
      <c r="L311" s="840">
        <v>25</v>
      </c>
      <c r="M311" s="705">
        <f t="shared" ref="M311:R311" si="458">AQ$90</f>
        <v>15</v>
      </c>
      <c r="N311" s="705">
        <f t="shared" si="458"/>
        <v>-0.09</v>
      </c>
      <c r="O311" s="705">
        <f t="shared" si="458"/>
        <v>-0.12</v>
      </c>
      <c r="P311" s="705" t="str">
        <f t="shared" si="458"/>
        <v>-</v>
      </c>
      <c r="Q311" s="705">
        <f t="shared" si="458"/>
        <v>1.4999999999999999E-2</v>
      </c>
      <c r="R311" s="705">
        <f t="shared" si="458"/>
        <v>0.05</v>
      </c>
      <c r="S311" s="1436"/>
    </row>
    <row r="312" spans="1:19" hidden="1" x14ac:dyDescent="0.2">
      <c r="A312" s="1435"/>
      <c r="B312" s="840">
        <v>26</v>
      </c>
      <c r="C312" s="705">
        <f t="shared" ref="C312:H312" si="459">AQ$97</f>
        <v>0</v>
      </c>
      <c r="D312" s="705">
        <f t="shared" si="459"/>
        <v>9.9999999999999995E-7</v>
      </c>
      <c r="E312" s="705">
        <f t="shared" si="459"/>
        <v>9.9999999999999995E-7</v>
      </c>
      <c r="F312" s="705" t="str">
        <f t="shared" si="459"/>
        <v>-</v>
      </c>
      <c r="G312" s="705">
        <f t="shared" si="459"/>
        <v>9.9999999999999995E-7</v>
      </c>
      <c r="H312" s="705">
        <f t="shared" si="459"/>
        <v>0.05</v>
      </c>
      <c r="I312" s="1436"/>
      <c r="K312" s="1435"/>
      <c r="L312" s="840">
        <v>26</v>
      </c>
      <c r="M312" s="705">
        <f t="shared" ref="M312:R312" si="460">AQ$100</f>
        <v>15</v>
      </c>
      <c r="N312" s="705">
        <f t="shared" si="460"/>
        <v>-0.08</v>
      </c>
      <c r="O312" s="705">
        <f t="shared" si="460"/>
        <v>-0.06</v>
      </c>
      <c r="P312" s="705" t="str">
        <f t="shared" si="460"/>
        <v>-</v>
      </c>
      <c r="Q312" s="705">
        <f t="shared" si="460"/>
        <v>1.0000000000000002E-2</v>
      </c>
      <c r="R312" s="705">
        <f t="shared" si="460"/>
        <v>0.05</v>
      </c>
      <c r="S312" s="1436"/>
    </row>
    <row r="313" spans="1:19" hidden="1" x14ac:dyDescent="0.2">
      <c r="A313" s="1435"/>
      <c r="B313" s="840">
        <v>27</v>
      </c>
      <c r="C313" s="705">
        <f t="shared" ref="C313:H313" si="461">AX$36</f>
        <v>0</v>
      </c>
      <c r="D313" s="705">
        <f t="shared" si="461"/>
        <v>9.9999999999999995E-7</v>
      </c>
      <c r="E313" s="705" t="str">
        <f t="shared" si="461"/>
        <v>-</v>
      </c>
      <c r="F313" s="705" t="str">
        <f t="shared" si="461"/>
        <v>-</v>
      </c>
      <c r="G313" s="705">
        <f t="shared" si="461"/>
        <v>9.9999999999999995E-7</v>
      </c>
      <c r="H313" s="705">
        <f t="shared" si="461"/>
        <v>0.05</v>
      </c>
      <c r="I313" s="1436">
        <v>9</v>
      </c>
      <c r="K313" s="1435"/>
      <c r="L313" s="840">
        <v>27</v>
      </c>
      <c r="M313" s="705">
        <f t="shared" ref="M313:R313" si="462">AX$39</f>
        <v>30</v>
      </c>
      <c r="N313" s="705">
        <f t="shared" si="462"/>
        <v>-0.22</v>
      </c>
      <c r="O313" s="705" t="str">
        <f t="shared" si="462"/>
        <v>-</v>
      </c>
      <c r="P313" s="705" t="str">
        <f t="shared" si="462"/>
        <v>-</v>
      </c>
      <c r="Q313" s="705">
        <f t="shared" si="462"/>
        <v>0</v>
      </c>
      <c r="R313" s="705">
        <f t="shared" si="462"/>
        <v>0.05</v>
      </c>
      <c r="S313" s="1436">
        <v>9</v>
      </c>
    </row>
    <row r="314" spans="1:19" hidden="1" x14ac:dyDescent="0.2">
      <c r="A314" s="1435"/>
      <c r="B314" s="840">
        <v>28</v>
      </c>
      <c r="C314" s="705">
        <f t="shared" ref="C314:H314" si="463">AX$46</f>
        <v>0</v>
      </c>
      <c r="D314" s="705">
        <f t="shared" si="463"/>
        <v>9.9999999999999995E-7</v>
      </c>
      <c r="E314" s="705" t="str">
        <f t="shared" si="463"/>
        <v>-</v>
      </c>
      <c r="F314" s="705" t="str">
        <f t="shared" si="463"/>
        <v>-</v>
      </c>
      <c r="G314" s="705">
        <f t="shared" si="463"/>
        <v>0</v>
      </c>
      <c r="H314" s="705">
        <f t="shared" si="463"/>
        <v>0.05</v>
      </c>
      <c r="I314" s="1436"/>
      <c r="K314" s="1435"/>
      <c r="L314" s="840">
        <v>28</v>
      </c>
      <c r="M314" s="705">
        <f t="shared" ref="M314:R314" si="464">AX$49</f>
        <v>30</v>
      </c>
      <c r="N314" s="705">
        <f t="shared" si="464"/>
        <v>-0.24</v>
      </c>
      <c r="O314" s="705" t="str">
        <f t="shared" si="464"/>
        <v>-</v>
      </c>
      <c r="P314" s="705" t="str">
        <f t="shared" si="464"/>
        <v>-</v>
      </c>
      <c r="Q314" s="705">
        <f t="shared" si="464"/>
        <v>0</v>
      </c>
      <c r="R314" s="705">
        <f t="shared" si="464"/>
        <v>0.05</v>
      </c>
      <c r="S314" s="1436"/>
    </row>
    <row r="315" spans="1:19" hidden="1" x14ac:dyDescent="0.2">
      <c r="A315" s="1435"/>
      <c r="B315" s="840">
        <v>29</v>
      </c>
      <c r="C315" s="705">
        <f t="shared" ref="C315:H315" si="465">BE$36</f>
        <v>0</v>
      </c>
      <c r="D315" s="705">
        <f t="shared" si="465"/>
        <v>9.9999999999999995E-7</v>
      </c>
      <c r="E315" s="705" t="str">
        <f t="shared" si="465"/>
        <v>-</v>
      </c>
      <c r="F315" s="705" t="str">
        <f t="shared" si="465"/>
        <v>-</v>
      </c>
      <c r="G315" s="705">
        <f t="shared" si="465"/>
        <v>9.9999999999999995E-7</v>
      </c>
      <c r="H315" s="705">
        <f t="shared" si="465"/>
        <v>0.06</v>
      </c>
      <c r="I315" s="1436"/>
      <c r="K315" s="1435"/>
      <c r="L315" s="840">
        <v>29</v>
      </c>
      <c r="M315" s="705">
        <f t="shared" ref="M315:R315" si="466">BE$39</f>
        <v>30</v>
      </c>
      <c r="N315" s="705">
        <f t="shared" si="466"/>
        <v>-0.16</v>
      </c>
      <c r="O315" s="705" t="str">
        <f t="shared" si="466"/>
        <v>-</v>
      </c>
      <c r="P315" s="705" t="str">
        <f t="shared" si="466"/>
        <v>-</v>
      </c>
      <c r="Q315" s="705">
        <f t="shared" si="466"/>
        <v>0</v>
      </c>
      <c r="R315" s="705">
        <f t="shared" si="466"/>
        <v>0.06</v>
      </c>
      <c r="S315" s="1436"/>
    </row>
    <row r="316" spans="1:19" hidden="1" x14ac:dyDescent="0.2">
      <c r="A316" s="1435"/>
      <c r="B316" s="840">
        <v>30</v>
      </c>
      <c r="C316" s="705">
        <f t="shared" ref="C316:H316" si="467">BE$46</f>
        <v>0</v>
      </c>
      <c r="D316" s="705">
        <f t="shared" si="467"/>
        <v>9.9999999999999995E-7</v>
      </c>
      <c r="E316" s="705" t="str">
        <f t="shared" si="467"/>
        <v>-</v>
      </c>
      <c r="F316" s="705" t="str">
        <f t="shared" si="467"/>
        <v>-</v>
      </c>
      <c r="G316" s="705">
        <f t="shared" si="467"/>
        <v>9.9999999999999995E-7</v>
      </c>
      <c r="H316" s="705">
        <f t="shared" si="467"/>
        <v>0.06</v>
      </c>
      <c r="I316" s="1436"/>
      <c r="K316" s="1435"/>
      <c r="L316" s="840">
        <v>30</v>
      </c>
      <c r="M316" s="705">
        <f t="shared" ref="M316:R316" si="468">BE$49</f>
        <v>30</v>
      </c>
      <c r="N316" s="705">
        <f t="shared" si="468"/>
        <v>-0.12</v>
      </c>
      <c r="O316" s="705" t="str">
        <f t="shared" si="468"/>
        <v>-</v>
      </c>
      <c r="P316" s="705" t="str">
        <f t="shared" si="468"/>
        <v>-</v>
      </c>
      <c r="Q316" s="705">
        <f t="shared" si="468"/>
        <v>0</v>
      </c>
      <c r="R316" s="705">
        <f t="shared" si="468"/>
        <v>0.06</v>
      </c>
      <c r="S316" s="1436"/>
    </row>
    <row r="317" spans="1:19" hidden="1" x14ac:dyDescent="0.2">
      <c r="A317" s="1435"/>
      <c r="B317" s="840">
        <v>31</v>
      </c>
      <c r="C317" s="705">
        <f t="shared" ref="C317:H317" si="469">AX$87</f>
        <v>0</v>
      </c>
      <c r="D317" s="705" t="str">
        <f t="shared" si="469"/>
        <v>-</v>
      </c>
      <c r="E317" s="705" t="str">
        <f t="shared" si="469"/>
        <v>-</v>
      </c>
      <c r="F317" s="705" t="str">
        <f t="shared" si="469"/>
        <v>-</v>
      </c>
      <c r="G317" s="705">
        <f t="shared" si="469"/>
        <v>9.9999999999999995E-7</v>
      </c>
      <c r="H317" s="705">
        <f t="shared" si="469"/>
        <v>0</v>
      </c>
      <c r="I317" s="1436">
        <v>10</v>
      </c>
      <c r="K317" s="1435"/>
      <c r="L317" s="840">
        <v>31</v>
      </c>
      <c r="M317" s="705">
        <f t="shared" ref="M317:R317" si="470">AX$90</f>
        <v>30</v>
      </c>
      <c r="N317" s="705" t="str">
        <f t="shared" si="470"/>
        <v>-</v>
      </c>
      <c r="O317" s="705" t="str">
        <f t="shared" si="470"/>
        <v>-</v>
      </c>
      <c r="P317" s="705" t="str">
        <f t="shared" si="470"/>
        <v>-</v>
      </c>
      <c r="Q317" s="705">
        <f t="shared" si="470"/>
        <v>0</v>
      </c>
      <c r="R317" s="705">
        <f t="shared" si="470"/>
        <v>0</v>
      </c>
      <c r="S317" s="1436">
        <v>10</v>
      </c>
    </row>
    <row r="318" spans="1:19" hidden="1" x14ac:dyDescent="0.2">
      <c r="A318" s="1435"/>
      <c r="B318" s="840">
        <v>32</v>
      </c>
      <c r="C318" s="705">
        <f t="shared" ref="C318:H318" si="471">AX$97</f>
        <v>0</v>
      </c>
      <c r="D318" s="705" t="str">
        <f t="shared" si="471"/>
        <v>-</v>
      </c>
      <c r="E318" s="705" t="str">
        <f t="shared" si="471"/>
        <v>-</v>
      </c>
      <c r="F318" s="705" t="str">
        <f t="shared" si="471"/>
        <v>-</v>
      </c>
      <c r="G318" s="705">
        <f t="shared" si="471"/>
        <v>9.9999999999999995E-7</v>
      </c>
      <c r="H318" s="705">
        <f t="shared" si="471"/>
        <v>0</v>
      </c>
      <c r="I318" s="1436"/>
      <c r="K318" s="1435"/>
      <c r="L318" s="840">
        <v>32</v>
      </c>
      <c r="M318" s="705">
        <f t="shared" ref="M318:R318" si="472">AX$100</f>
        <v>30</v>
      </c>
      <c r="N318" s="705" t="str">
        <f t="shared" si="472"/>
        <v>-</v>
      </c>
      <c r="O318" s="705" t="str">
        <f t="shared" si="472"/>
        <v>-</v>
      </c>
      <c r="P318" s="705" t="str">
        <f t="shared" si="472"/>
        <v>-</v>
      </c>
      <c r="Q318" s="705">
        <f t="shared" si="472"/>
        <v>0</v>
      </c>
      <c r="R318" s="705">
        <f t="shared" si="472"/>
        <v>0</v>
      </c>
      <c r="S318" s="1436"/>
    </row>
    <row r="319" spans="1:19" hidden="1" x14ac:dyDescent="0.2">
      <c r="A319" s="1435"/>
      <c r="B319" s="840">
        <v>33</v>
      </c>
      <c r="C319" s="705">
        <f t="shared" ref="C319:H319" si="473">BE$87</f>
        <v>0</v>
      </c>
      <c r="D319" s="705" t="str">
        <f t="shared" si="473"/>
        <v>-</v>
      </c>
      <c r="E319" s="705" t="str">
        <f t="shared" si="473"/>
        <v>-</v>
      </c>
      <c r="F319" s="705" t="str">
        <f t="shared" si="473"/>
        <v>-</v>
      </c>
      <c r="G319" s="705">
        <f t="shared" si="473"/>
        <v>9.9999999999999995E-7</v>
      </c>
      <c r="H319" s="705">
        <f t="shared" si="473"/>
        <v>0</v>
      </c>
      <c r="I319" s="1436"/>
      <c r="K319" s="1435"/>
      <c r="L319" s="840">
        <v>33</v>
      </c>
      <c r="M319" s="705">
        <f t="shared" ref="M319:R319" si="474">BE$90</f>
        <v>30</v>
      </c>
      <c r="N319" s="705" t="str">
        <f t="shared" si="474"/>
        <v>-</v>
      </c>
      <c r="O319" s="705" t="str">
        <f t="shared" si="474"/>
        <v>-</v>
      </c>
      <c r="P319" s="705" t="str">
        <f t="shared" si="474"/>
        <v>-</v>
      </c>
      <c r="Q319" s="705">
        <f t="shared" si="474"/>
        <v>0</v>
      </c>
      <c r="R319" s="705">
        <f t="shared" si="474"/>
        <v>0</v>
      </c>
      <c r="S319" s="1436"/>
    </row>
    <row r="320" spans="1:19" hidden="1" x14ac:dyDescent="0.2">
      <c r="A320" s="1435"/>
      <c r="B320" s="840">
        <v>34</v>
      </c>
      <c r="C320" s="705">
        <f t="shared" ref="C320:H320" si="475">BE$97</f>
        <v>0</v>
      </c>
      <c r="D320" s="705" t="str">
        <f t="shared" si="475"/>
        <v>-</v>
      </c>
      <c r="E320" s="705" t="str">
        <f t="shared" si="475"/>
        <v>-</v>
      </c>
      <c r="F320" s="705" t="str">
        <f t="shared" si="475"/>
        <v>-</v>
      </c>
      <c r="G320" s="705">
        <f t="shared" si="475"/>
        <v>9.9999999999999995E-7</v>
      </c>
      <c r="H320" s="705">
        <f t="shared" si="475"/>
        <v>0</v>
      </c>
      <c r="I320" s="1436"/>
      <c r="K320" s="1435"/>
      <c r="L320" s="840">
        <v>34</v>
      </c>
      <c r="M320" s="705">
        <f t="shared" ref="M320:R320" si="476">BE$100</f>
        <v>30</v>
      </c>
      <c r="N320" s="705" t="str">
        <f t="shared" si="476"/>
        <v>-</v>
      </c>
      <c r="O320" s="705" t="str">
        <f t="shared" si="476"/>
        <v>-</v>
      </c>
      <c r="P320" s="705" t="str">
        <f t="shared" si="476"/>
        <v>-</v>
      </c>
      <c r="Q320" s="705">
        <f t="shared" si="476"/>
        <v>0</v>
      </c>
      <c r="R320" s="705">
        <f t="shared" si="476"/>
        <v>0</v>
      </c>
      <c r="S320" s="1436"/>
    </row>
    <row r="321" spans="1:19" hidden="1" x14ac:dyDescent="0.2">
      <c r="A321" s="531"/>
      <c r="B321" s="833"/>
      <c r="C321" s="459"/>
      <c r="D321" s="459"/>
      <c r="E321" s="459"/>
      <c r="F321" s="459"/>
      <c r="G321" s="459"/>
      <c r="H321" s="459"/>
      <c r="I321" s="842"/>
      <c r="K321" s="531"/>
      <c r="L321" s="833"/>
      <c r="M321" s="460"/>
      <c r="N321" s="460"/>
      <c r="O321" s="460"/>
      <c r="P321" s="460"/>
      <c r="Q321" s="460"/>
      <c r="R321" s="460"/>
      <c r="S321" s="842"/>
    </row>
    <row r="322" spans="1:19" hidden="1" x14ac:dyDescent="0.2">
      <c r="A322" s="1435" t="s">
        <v>52</v>
      </c>
      <c r="B322" s="840">
        <v>1</v>
      </c>
      <c r="C322" s="705">
        <f>A$37</f>
        <v>10</v>
      </c>
      <c r="D322" s="705">
        <f t="shared" ref="D322:F322" si="477">B$37</f>
        <v>-0.05</v>
      </c>
      <c r="E322" s="705">
        <f t="shared" si="477"/>
        <v>-0.04</v>
      </c>
      <c r="F322" s="705" t="str">
        <f t="shared" si="477"/>
        <v>-</v>
      </c>
      <c r="G322" s="705">
        <f>E$37</f>
        <v>5.000000000000001E-3</v>
      </c>
      <c r="H322" s="705">
        <f>F$37</f>
        <v>0.02</v>
      </c>
      <c r="I322" s="1436">
        <v>1</v>
      </c>
      <c r="K322" s="1435" t="s">
        <v>55</v>
      </c>
      <c r="L322" s="840">
        <v>1</v>
      </c>
      <c r="M322" s="705">
        <f t="shared" ref="M322:R322" si="478">A$40</f>
        <v>25</v>
      </c>
      <c r="N322" s="705">
        <f t="shared" si="478"/>
        <v>-0.06</v>
      </c>
      <c r="O322" s="705">
        <f t="shared" si="478"/>
        <v>-0.13</v>
      </c>
      <c r="P322" s="705" t="str">
        <f t="shared" si="478"/>
        <v>-</v>
      </c>
      <c r="Q322" s="705">
        <f t="shared" si="478"/>
        <v>3.5000000000000003E-2</v>
      </c>
      <c r="R322" s="705">
        <f t="shared" si="478"/>
        <v>0.02</v>
      </c>
      <c r="S322" s="1436">
        <v>1</v>
      </c>
    </row>
    <row r="323" spans="1:19" hidden="1" x14ac:dyDescent="0.2">
      <c r="A323" s="1435"/>
      <c r="B323" s="840">
        <v>2</v>
      </c>
      <c r="C323" s="705">
        <f>A$47</f>
        <v>10</v>
      </c>
      <c r="D323" s="705">
        <f t="shared" ref="D323:F323" si="479">B$47</f>
        <v>9.9999999999999995E-7</v>
      </c>
      <c r="E323" s="705">
        <f t="shared" si="479"/>
        <v>-0.02</v>
      </c>
      <c r="F323" s="705" t="str">
        <f t="shared" si="479"/>
        <v>-</v>
      </c>
      <c r="G323" s="705">
        <f>E$47</f>
        <v>1.0000500000000001E-2</v>
      </c>
      <c r="H323" s="705">
        <f>F$47</f>
        <v>0.02</v>
      </c>
      <c r="I323" s="1436"/>
      <c r="K323" s="1435"/>
      <c r="L323" s="840">
        <v>2</v>
      </c>
      <c r="M323" s="705">
        <f t="shared" ref="M323:R323" si="480">A$50</f>
        <v>25</v>
      </c>
      <c r="N323" s="705">
        <f t="shared" si="480"/>
        <v>-7.0000000000000007E-2</v>
      </c>
      <c r="O323" s="705">
        <f t="shared" si="480"/>
        <v>-0.01</v>
      </c>
      <c r="P323" s="705" t="str">
        <f t="shared" si="480"/>
        <v>-</v>
      </c>
      <c r="Q323" s="705">
        <f t="shared" si="480"/>
        <v>3.0000000000000002E-2</v>
      </c>
      <c r="R323" s="705">
        <f t="shared" si="480"/>
        <v>0.02</v>
      </c>
      <c r="S323" s="1436"/>
    </row>
    <row r="324" spans="1:19" hidden="1" x14ac:dyDescent="0.2">
      <c r="A324" s="1435"/>
      <c r="B324" s="840">
        <v>3</v>
      </c>
      <c r="C324" s="705">
        <f t="shared" ref="C324:H324" si="481">H$37</f>
        <v>10</v>
      </c>
      <c r="D324" s="705">
        <f t="shared" si="481"/>
        <v>0.01</v>
      </c>
      <c r="E324" s="705">
        <f t="shared" si="481"/>
        <v>-0.04</v>
      </c>
      <c r="F324" s="705" t="str">
        <f t="shared" si="481"/>
        <v>-</v>
      </c>
      <c r="G324" s="705">
        <f t="shared" si="481"/>
        <v>2.5000000000000001E-2</v>
      </c>
      <c r="H324" s="705">
        <f t="shared" si="481"/>
        <v>0.02</v>
      </c>
      <c r="I324" s="1436"/>
      <c r="K324" s="1435"/>
      <c r="L324" s="840">
        <v>3</v>
      </c>
      <c r="M324" s="705">
        <f t="shared" ref="M324:R324" si="482">H$40</f>
        <v>25</v>
      </c>
      <c r="N324" s="705">
        <f t="shared" si="482"/>
        <v>0.01</v>
      </c>
      <c r="O324" s="705">
        <f t="shared" si="482"/>
        <v>-0.03</v>
      </c>
      <c r="P324" s="705" t="str">
        <f t="shared" si="482"/>
        <v>-</v>
      </c>
      <c r="Q324" s="705">
        <f t="shared" si="482"/>
        <v>0.02</v>
      </c>
      <c r="R324" s="705">
        <f t="shared" si="482"/>
        <v>0.02</v>
      </c>
      <c r="S324" s="1436"/>
    </row>
    <row r="325" spans="1:19" hidden="1" x14ac:dyDescent="0.2">
      <c r="A325" s="1435"/>
      <c r="B325" s="840">
        <v>4</v>
      </c>
      <c r="C325" s="705">
        <f t="shared" ref="C325:H325" si="483">H$47</f>
        <v>10</v>
      </c>
      <c r="D325" s="705">
        <f t="shared" si="483"/>
        <v>-0.06</v>
      </c>
      <c r="E325" s="705">
        <f t="shared" si="483"/>
        <v>-0.04</v>
      </c>
      <c r="F325" s="705" t="str">
        <f t="shared" si="483"/>
        <v>-</v>
      </c>
      <c r="G325" s="705">
        <f t="shared" si="483"/>
        <v>9.9999999999999985E-3</v>
      </c>
      <c r="H325" s="705">
        <f t="shared" si="483"/>
        <v>0.02</v>
      </c>
      <c r="I325" s="1436"/>
      <c r="K325" s="1435"/>
      <c r="L325" s="840">
        <v>4</v>
      </c>
      <c r="M325" s="705">
        <f t="shared" ref="M325:R325" si="484">H$50</f>
        <v>25</v>
      </c>
      <c r="N325" s="705">
        <f t="shared" si="484"/>
        <v>-0.09</v>
      </c>
      <c r="O325" s="705">
        <f t="shared" si="484"/>
        <v>-0.02</v>
      </c>
      <c r="P325" s="705" t="str">
        <f t="shared" si="484"/>
        <v>-</v>
      </c>
      <c r="Q325" s="705">
        <f t="shared" si="484"/>
        <v>3.4999999999999996E-2</v>
      </c>
      <c r="R325" s="705">
        <f t="shared" si="484"/>
        <v>0.02</v>
      </c>
      <c r="S325" s="1436"/>
    </row>
    <row r="326" spans="1:19" hidden="1" x14ac:dyDescent="0.2">
      <c r="A326" s="1435"/>
      <c r="B326" s="840">
        <v>5</v>
      </c>
      <c r="C326" s="705">
        <f t="shared" ref="C326:H326" si="485">O$37</f>
        <v>10</v>
      </c>
      <c r="D326" s="705">
        <f t="shared" si="485"/>
        <v>-7.0000000000000007E-2</v>
      </c>
      <c r="E326" s="705">
        <f t="shared" si="485"/>
        <v>-0.08</v>
      </c>
      <c r="F326" s="705">
        <f t="shared" si="485"/>
        <v>-0.01</v>
      </c>
      <c r="G326" s="705">
        <f t="shared" si="485"/>
        <v>3.5000000000000003E-2</v>
      </c>
      <c r="H326" s="705">
        <f t="shared" si="485"/>
        <v>0.05</v>
      </c>
      <c r="I326" s="841">
        <v>2</v>
      </c>
      <c r="K326" s="1435"/>
      <c r="L326" s="840">
        <v>5</v>
      </c>
      <c r="M326" s="705">
        <f t="shared" ref="M326:R326" si="486">O$40</f>
        <v>25</v>
      </c>
      <c r="N326" s="705">
        <f t="shared" si="486"/>
        <v>-0.11</v>
      </c>
      <c r="O326" s="705">
        <f t="shared" si="486"/>
        <v>-0.08</v>
      </c>
      <c r="P326" s="705">
        <f t="shared" si="486"/>
        <v>7.0000000000000007E-2</v>
      </c>
      <c r="Q326" s="705">
        <f t="shared" si="486"/>
        <v>0.09</v>
      </c>
      <c r="R326" s="705">
        <f t="shared" si="486"/>
        <v>0.05</v>
      </c>
      <c r="S326" s="841">
        <v>2</v>
      </c>
    </row>
    <row r="327" spans="1:19" hidden="1" x14ac:dyDescent="0.2">
      <c r="A327" s="1435"/>
      <c r="B327" s="840">
        <v>6</v>
      </c>
      <c r="C327" s="705">
        <f t="shared" ref="C327:H327" si="487">V$37</f>
        <v>5</v>
      </c>
      <c r="D327" s="705">
        <f t="shared" si="487"/>
        <v>-0.02</v>
      </c>
      <c r="E327" s="705">
        <f t="shared" si="487"/>
        <v>-0.02</v>
      </c>
      <c r="F327" s="705">
        <f t="shared" si="487"/>
        <v>-0.02</v>
      </c>
      <c r="G327" s="705">
        <f t="shared" si="487"/>
        <v>0</v>
      </c>
      <c r="H327" s="705">
        <f t="shared" si="487"/>
        <v>0.05</v>
      </c>
      <c r="I327" s="1436">
        <v>3</v>
      </c>
      <c r="K327" s="1435"/>
      <c r="L327" s="840">
        <v>6</v>
      </c>
      <c r="M327" s="705">
        <f t="shared" ref="M327:R327" si="488">V$40</f>
        <v>25</v>
      </c>
      <c r="N327" s="705">
        <f t="shared" si="488"/>
        <v>-0.14000000000000001</v>
      </c>
      <c r="O327" s="705">
        <f t="shared" si="488"/>
        <v>-0.27</v>
      </c>
      <c r="P327" s="705">
        <f t="shared" si="488"/>
        <v>-0.02</v>
      </c>
      <c r="Q327" s="705">
        <f t="shared" si="488"/>
        <v>0.125</v>
      </c>
      <c r="R327" s="705">
        <f t="shared" si="488"/>
        <v>0.05</v>
      </c>
      <c r="S327" s="1436">
        <v>3</v>
      </c>
    </row>
    <row r="328" spans="1:19" hidden="1" x14ac:dyDescent="0.2">
      <c r="A328" s="1435"/>
      <c r="B328" s="840">
        <v>7</v>
      </c>
      <c r="C328" s="705">
        <f t="shared" ref="C328:H328" si="489">V$47</f>
        <v>5</v>
      </c>
      <c r="D328" s="705">
        <f t="shared" si="489"/>
        <v>-0.01</v>
      </c>
      <c r="E328" s="705">
        <f t="shared" si="489"/>
        <v>0.01</v>
      </c>
      <c r="F328" s="705">
        <f t="shared" si="489"/>
        <v>-0.03</v>
      </c>
      <c r="G328" s="705">
        <f t="shared" si="489"/>
        <v>0.02</v>
      </c>
      <c r="H328" s="705">
        <f t="shared" si="489"/>
        <v>0.05</v>
      </c>
      <c r="I328" s="1436"/>
      <c r="K328" s="1435"/>
      <c r="L328" s="840">
        <v>7</v>
      </c>
      <c r="M328" s="705">
        <f t="shared" ref="M328:R328" si="490">V$50</f>
        <v>25</v>
      </c>
      <c r="N328" s="705">
        <f t="shared" si="490"/>
        <v>-0.23</v>
      </c>
      <c r="O328" s="705">
        <f t="shared" si="490"/>
        <v>0.03</v>
      </c>
      <c r="P328" s="705">
        <f t="shared" si="490"/>
        <v>-0.02</v>
      </c>
      <c r="Q328" s="705">
        <f t="shared" si="490"/>
        <v>0.13</v>
      </c>
      <c r="R328" s="705">
        <f t="shared" si="490"/>
        <v>0.05</v>
      </c>
      <c r="S328" s="1436"/>
    </row>
    <row r="329" spans="1:19" hidden="1" x14ac:dyDescent="0.2">
      <c r="A329" s="1435"/>
      <c r="B329" s="840">
        <v>8</v>
      </c>
      <c r="C329" s="705">
        <f t="shared" ref="C329:H329" si="491">AC$37</f>
        <v>5</v>
      </c>
      <c r="D329" s="705">
        <f t="shared" si="491"/>
        <v>-0.02</v>
      </c>
      <c r="E329" s="705">
        <f t="shared" si="491"/>
        <v>9.9999999999999995E-7</v>
      </c>
      <c r="F329" s="705">
        <f t="shared" si="491"/>
        <v>-0.02</v>
      </c>
      <c r="G329" s="705">
        <f t="shared" si="491"/>
        <v>1.0000500000000001E-2</v>
      </c>
      <c r="H329" s="705">
        <f t="shared" si="491"/>
        <v>0.05</v>
      </c>
      <c r="I329" s="1436"/>
      <c r="K329" s="1435"/>
      <c r="L329" s="840">
        <v>8</v>
      </c>
      <c r="M329" s="705">
        <f t="shared" ref="M329:R329" si="492">AC$40</f>
        <v>25</v>
      </c>
      <c r="N329" s="705">
        <f t="shared" si="492"/>
        <v>-0.19</v>
      </c>
      <c r="O329" s="705">
        <f t="shared" si="492"/>
        <v>-0.15</v>
      </c>
      <c r="P329" s="705">
        <f t="shared" si="492"/>
        <v>-0.02</v>
      </c>
      <c r="Q329" s="705">
        <f t="shared" si="492"/>
        <v>8.5000000000000006E-2</v>
      </c>
      <c r="R329" s="705">
        <f t="shared" si="492"/>
        <v>0.05</v>
      </c>
      <c r="S329" s="1436"/>
    </row>
    <row r="330" spans="1:19" hidden="1" x14ac:dyDescent="0.2">
      <c r="A330" s="1435"/>
      <c r="B330" s="840">
        <v>9</v>
      </c>
      <c r="C330" s="705">
        <f t="shared" ref="C330:H330" si="493">AC$47</f>
        <v>5</v>
      </c>
      <c r="D330" s="705">
        <f t="shared" si="493"/>
        <v>0.05</v>
      </c>
      <c r="E330" s="705">
        <f t="shared" si="493"/>
        <v>7.0000000000000007E-2</v>
      </c>
      <c r="F330" s="705">
        <f t="shared" si="493"/>
        <v>-0.02</v>
      </c>
      <c r="G330" s="705">
        <f t="shared" si="493"/>
        <v>4.5000000000000005E-2</v>
      </c>
      <c r="H330" s="705">
        <f t="shared" si="493"/>
        <v>0.05</v>
      </c>
      <c r="I330" s="1436"/>
      <c r="K330" s="1435"/>
      <c r="L330" s="840">
        <v>9</v>
      </c>
      <c r="M330" s="705">
        <f t="shared" ref="M330:R330" si="494">AC$50</f>
        <v>25</v>
      </c>
      <c r="N330" s="705">
        <f t="shared" si="494"/>
        <v>-0.02</v>
      </c>
      <c r="O330" s="705">
        <f t="shared" si="494"/>
        <v>0.12</v>
      </c>
      <c r="P330" s="705">
        <f t="shared" si="494"/>
        <v>-0.01</v>
      </c>
      <c r="Q330" s="705">
        <f t="shared" si="494"/>
        <v>6.9999999999999993E-2</v>
      </c>
      <c r="R330" s="705">
        <f t="shared" si="494"/>
        <v>0.05</v>
      </c>
      <c r="S330" s="1436"/>
    </row>
    <row r="331" spans="1:19" hidden="1" x14ac:dyDescent="0.2">
      <c r="A331" s="1435"/>
      <c r="B331" s="840">
        <v>10</v>
      </c>
      <c r="C331" s="705">
        <f>A$88</f>
        <v>5</v>
      </c>
      <c r="D331" s="705">
        <f t="shared" ref="D331:F331" si="495">B$88</f>
        <v>0.01</v>
      </c>
      <c r="E331" s="705" t="str">
        <f t="shared" si="495"/>
        <v>-</v>
      </c>
      <c r="F331" s="705" t="str">
        <f t="shared" si="495"/>
        <v>-</v>
      </c>
      <c r="G331" s="705">
        <f>E$88</f>
        <v>0</v>
      </c>
      <c r="H331" s="705">
        <f>F$88</f>
        <v>0.02</v>
      </c>
      <c r="I331" s="1436">
        <v>4</v>
      </c>
      <c r="K331" s="1435"/>
      <c r="L331" s="840">
        <v>10</v>
      </c>
      <c r="M331" s="705">
        <f t="shared" ref="M331:R331" si="496">A$91</f>
        <v>25</v>
      </c>
      <c r="N331" s="705">
        <f t="shared" si="496"/>
        <v>0.03</v>
      </c>
      <c r="O331" s="705" t="str">
        <f t="shared" si="496"/>
        <v>-</v>
      </c>
      <c r="P331" s="705" t="str">
        <f t="shared" si="496"/>
        <v>-</v>
      </c>
      <c r="Q331" s="705">
        <f t="shared" si="496"/>
        <v>0</v>
      </c>
      <c r="R331" s="705">
        <f t="shared" si="496"/>
        <v>0.02</v>
      </c>
      <c r="S331" s="1436">
        <v>4</v>
      </c>
    </row>
    <row r="332" spans="1:19" hidden="1" x14ac:dyDescent="0.2">
      <c r="A332" s="1435"/>
      <c r="B332" s="840">
        <v>11</v>
      </c>
      <c r="C332" s="705">
        <f>A$98</f>
        <v>5</v>
      </c>
      <c r="D332" s="705">
        <f t="shared" ref="D332:F332" si="497">B$98</f>
        <v>-0.03</v>
      </c>
      <c r="E332" s="705" t="str">
        <f t="shared" si="497"/>
        <v>-</v>
      </c>
      <c r="F332" s="705" t="str">
        <f t="shared" si="497"/>
        <v>-</v>
      </c>
      <c r="G332" s="705">
        <f>E$98</f>
        <v>0</v>
      </c>
      <c r="H332" s="705">
        <f>F$98</f>
        <v>0.02</v>
      </c>
      <c r="I332" s="1436"/>
      <c r="K332" s="1435"/>
      <c r="L332" s="840">
        <v>11</v>
      </c>
      <c r="M332" s="705">
        <f t="shared" ref="M332:R332" si="498">A$101</f>
        <v>25</v>
      </c>
      <c r="N332" s="705">
        <f t="shared" si="498"/>
        <v>-0.03</v>
      </c>
      <c r="O332" s="705" t="str">
        <f t="shared" si="498"/>
        <v>-</v>
      </c>
      <c r="P332" s="705" t="str">
        <f t="shared" si="498"/>
        <v>-</v>
      </c>
      <c r="Q332" s="705">
        <f t="shared" si="498"/>
        <v>0</v>
      </c>
      <c r="R332" s="705">
        <f t="shared" si="498"/>
        <v>0.02</v>
      </c>
      <c r="S332" s="1436"/>
    </row>
    <row r="333" spans="1:19" hidden="1" x14ac:dyDescent="0.2">
      <c r="A333" s="1435"/>
      <c r="B333" s="840">
        <v>12</v>
      </c>
      <c r="C333" s="705">
        <f t="shared" ref="C333:H333" si="499">H$88</f>
        <v>5</v>
      </c>
      <c r="D333" s="705">
        <f t="shared" si="499"/>
        <v>0.02</v>
      </c>
      <c r="E333" s="705" t="str">
        <f t="shared" si="499"/>
        <v>-</v>
      </c>
      <c r="F333" s="705" t="str">
        <f t="shared" si="499"/>
        <v>-</v>
      </c>
      <c r="G333" s="705">
        <f t="shared" si="499"/>
        <v>0</v>
      </c>
      <c r="H333" s="705">
        <f t="shared" si="499"/>
        <v>0.02</v>
      </c>
      <c r="I333" s="1436"/>
      <c r="K333" s="1435"/>
      <c r="L333" s="840">
        <v>12</v>
      </c>
      <c r="M333" s="705">
        <f t="shared" ref="M333:R333" si="500">H$91</f>
        <v>25</v>
      </c>
      <c r="N333" s="705">
        <f t="shared" si="500"/>
        <v>0.02</v>
      </c>
      <c r="O333" s="705" t="str">
        <f t="shared" si="500"/>
        <v>-</v>
      </c>
      <c r="P333" s="705" t="str">
        <f t="shared" si="500"/>
        <v>-</v>
      </c>
      <c r="Q333" s="705">
        <f t="shared" si="500"/>
        <v>0</v>
      </c>
      <c r="R333" s="705">
        <f t="shared" si="500"/>
        <v>0.02</v>
      </c>
      <c r="S333" s="1436"/>
    </row>
    <row r="334" spans="1:19" hidden="1" x14ac:dyDescent="0.2">
      <c r="A334" s="1435"/>
      <c r="B334" s="840">
        <v>13</v>
      </c>
      <c r="C334" s="705">
        <f t="shared" ref="C334:H334" si="501">H$98</f>
        <v>5</v>
      </c>
      <c r="D334" s="705">
        <f t="shared" si="501"/>
        <v>0.03</v>
      </c>
      <c r="E334" s="705" t="str">
        <f t="shared" si="501"/>
        <v>-</v>
      </c>
      <c r="F334" s="705" t="str">
        <f t="shared" si="501"/>
        <v>-</v>
      </c>
      <c r="G334" s="705">
        <f t="shared" si="501"/>
        <v>0</v>
      </c>
      <c r="H334" s="705">
        <f t="shared" si="501"/>
        <v>0.03</v>
      </c>
      <c r="I334" s="1436"/>
      <c r="K334" s="1435"/>
      <c r="L334" s="840">
        <v>13</v>
      </c>
      <c r="M334" s="705">
        <f t="shared" ref="M334:R334" si="502">H$101</f>
        <v>25</v>
      </c>
      <c r="N334" s="705">
        <f t="shared" si="502"/>
        <v>0.03</v>
      </c>
      <c r="O334" s="705" t="str">
        <f t="shared" si="502"/>
        <v>-</v>
      </c>
      <c r="P334" s="705" t="str">
        <f t="shared" si="502"/>
        <v>-</v>
      </c>
      <c r="Q334" s="705">
        <f t="shared" si="502"/>
        <v>0</v>
      </c>
      <c r="R334" s="705">
        <f t="shared" si="502"/>
        <v>0.03</v>
      </c>
      <c r="S334" s="1436"/>
    </row>
    <row r="335" spans="1:19" hidden="1" x14ac:dyDescent="0.2">
      <c r="A335" s="1435"/>
      <c r="B335" s="840">
        <v>14</v>
      </c>
      <c r="C335" s="705">
        <f t="shared" ref="C335:H335" si="503">O$88</f>
        <v>0</v>
      </c>
      <c r="D335" s="705" t="str">
        <f t="shared" si="503"/>
        <v>-</v>
      </c>
      <c r="E335" s="705" t="str">
        <f t="shared" si="503"/>
        <v>-</v>
      </c>
      <c r="F335" s="705">
        <f t="shared" si="503"/>
        <v>0</v>
      </c>
      <c r="G335" s="705">
        <f t="shared" si="503"/>
        <v>0</v>
      </c>
      <c r="H335" s="705">
        <f t="shared" si="503"/>
        <v>0.11</v>
      </c>
      <c r="I335" s="841">
        <v>5</v>
      </c>
      <c r="K335" s="1435"/>
      <c r="L335" s="840">
        <v>14</v>
      </c>
      <c r="M335" s="705">
        <f t="shared" ref="M335:R335" si="504">O$91</f>
        <v>0</v>
      </c>
      <c r="N335" s="705" t="str">
        <f t="shared" si="504"/>
        <v>-</v>
      </c>
      <c r="O335" s="705" t="str">
        <f t="shared" si="504"/>
        <v>-</v>
      </c>
      <c r="P335" s="705">
        <f t="shared" si="504"/>
        <v>0</v>
      </c>
      <c r="Q335" s="705">
        <f t="shared" si="504"/>
        <v>0</v>
      </c>
      <c r="R335" s="705">
        <f t="shared" si="504"/>
        <v>1.0999999999999999E-2</v>
      </c>
      <c r="S335" s="841">
        <v>5</v>
      </c>
    </row>
    <row r="336" spans="1:19" hidden="1" x14ac:dyDescent="0.2">
      <c r="A336" s="1435"/>
      <c r="B336" s="840">
        <v>15</v>
      </c>
      <c r="C336" s="705">
        <f t="shared" ref="C336:H336" si="505">V$88</f>
        <v>5</v>
      </c>
      <c r="D336" s="705">
        <f t="shared" si="505"/>
        <v>0.09</v>
      </c>
      <c r="E336" s="705">
        <f t="shared" si="505"/>
        <v>-0.01</v>
      </c>
      <c r="F336" s="705" t="str">
        <f t="shared" si="505"/>
        <v>-</v>
      </c>
      <c r="G336" s="705">
        <f t="shared" si="505"/>
        <v>4.9999999999999996E-2</v>
      </c>
      <c r="H336" s="705">
        <f t="shared" si="505"/>
        <v>0.02</v>
      </c>
      <c r="I336" s="1436">
        <v>6</v>
      </c>
      <c r="K336" s="1435"/>
      <c r="L336" s="840">
        <v>15</v>
      </c>
      <c r="M336" s="705">
        <f t="shared" ref="M336:R336" si="506">V$91</f>
        <v>20</v>
      </c>
      <c r="N336" s="705">
        <f t="shared" si="506"/>
        <v>0.06</v>
      </c>
      <c r="O336" s="705">
        <f t="shared" si="506"/>
        <v>0.03</v>
      </c>
      <c r="P336" s="705" t="str">
        <f t="shared" si="506"/>
        <v>-</v>
      </c>
      <c r="Q336" s="705">
        <f t="shared" si="506"/>
        <v>1.4999999999999999E-2</v>
      </c>
      <c r="R336" s="705">
        <f t="shared" si="506"/>
        <v>0.02</v>
      </c>
      <c r="S336" s="1436">
        <v>6</v>
      </c>
    </row>
    <row r="337" spans="1:19" hidden="1" x14ac:dyDescent="0.2">
      <c r="A337" s="1435"/>
      <c r="B337" s="840">
        <v>16</v>
      </c>
      <c r="C337" s="705">
        <f t="shared" ref="C337:H337" si="507">V$98</f>
        <v>5</v>
      </c>
      <c r="D337" s="705">
        <f t="shared" si="507"/>
        <v>0.04</v>
      </c>
      <c r="E337" s="705">
        <f t="shared" si="507"/>
        <v>-0.04</v>
      </c>
      <c r="F337" s="705" t="str">
        <f t="shared" si="507"/>
        <v>-</v>
      </c>
      <c r="G337" s="705">
        <f t="shared" si="507"/>
        <v>0.04</v>
      </c>
      <c r="H337" s="705">
        <f t="shared" si="507"/>
        <v>0.02</v>
      </c>
      <c r="I337" s="1436"/>
      <c r="K337" s="1435"/>
      <c r="L337" s="840">
        <v>16</v>
      </c>
      <c r="M337" s="705">
        <f t="shared" ref="M337:R337" si="508">V$101</f>
        <v>20</v>
      </c>
      <c r="N337" s="705">
        <f t="shared" si="508"/>
        <v>0.04</v>
      </c>
      <c r="O337" s="705">
        <f t="shared" si="508"/>
        <v>-0.01</v>
      </c>
      <c r="P337" s="705" t="str">
        <f t="shared" si="508"/>
        <v>-</v>
      </c>
      <c r="Q337" s="705">
        <f t="shared" si="508"/>
        <v>2.5000000000000001E-2</v>
      </c>
      <c r="R337" s="705">
        <f t="shared" si="508"/>
        <v>0.02</v>
      </c>
      <c r="S337" s="1436"/>
    </row>
    <row r="338" spans="1:19" hidden="1" x14ac:dyDescent="0.2">
      <c r="A338" s="1435"/>
      <c r="B338" s="840">
        <v>17</v>
      </c>
      <c r="C338" s="705">
        <f t="shared" ref="C338:H338" si="509">AC$88</f>
        <v>5</v>
      </c>
      <c r="D338" s="705">
        <f t="shared" si="509"/>
        <v>0.01</v>
      </c>
      <c r="E338" s="705">
        <f t="shared" si="509"/>
        <v>-0.03</v>
      </c>
      <c r="F338" s="705" t="str">
        <f t="shared" si="509"/>
        <v>-</v>
      </c>
      <c r="G338" s="705">
        <f t="shared" si="509"/>
        <v>0.02</v>
      </c>
      <c r="H338" s="705">
        <f t="shared" si="509"/>
        <v>0.02</v>
      </c>
      <c r="I338" s="1436"/>
      <c r="K338" s="1435"/>
      <c r="L338" s="840">
        <v>17</v>
      </c>
      <c r="M338" s="705">
        <f t="shared" ref="M338:R338" si="510">AC$91</f>
        <v>20</v>
      </c>
      <c r="N338" s="705">
        <f t="shared" si="510"/>
        <v>-0.03</v>
      </c>
      <c r="O338" s="705">
        <f t="shared" si="510"/>
        <v>-0.01</v>
      </c>
      <c r="P338" s="705" t="str">
        <f t="shared" si="510"/>
        <v>-</v>
      </c>
      <c r="Q338" s="705">
        <f t="shared" si="510"/>
        <v>9.9999999999999985E-3</v>
      </c>
      <c r="R338" s="705">
        <f t="shared" si="510"/>
        <v>0.02</v>
      </c>
      <c r="S338" s="1436"/>
    </row>
    <row r="339" spans="1:19" hidden="1" x14ac:dyDescent="0.2">
      <c r="A339" s="1435"/>
      <c r="B339" s="840">
        <v>18</v>
      </c>
      <c r="C339" s="705">
        <f t="shared" ref="C339:H339" si="511">AC$98</f>
        <v>5</v>
      </c>
      <c r="D339" s="705">
        <f t="shared" si="511"/>
        <v>-0.05</v>
      </c>
      <c r="E339" s="705">
        <f t="shared" si="511"/>
        <v>-0.03</v>
      </c>
      <c r="F339" s="705" t="str">
        <f t="shared" si="511"/>
        <v>-</v>
      </c>
      <c r="G339" s="705">
        <f t="shared" si="511"/>
        <v>1.0000000000000002E-2</v>
      </c>
      <c r="H339" s="705">
        <f t="shared" si="511"/>
        <v>0.02</v>
      </c>
      <c r="I339" s="1436"/>
      <c r="K339" s="1435"/>
      <c r="L339" s="840">
        <v>18</v>
      </c>
      <c r="M339" s="705">
        <f t="shared" ref="M339:R339" si="512">AC$101</f>
        <v>20</v>
      </c>
      <c r="N339" s="705">
        <f t="shared" si="512"/>
        <v>-7.0000000000000007E-2</v>
      </c>
      <c r="O339" s="705">
        <f t="shared" si="512"/>
        <v>-0.01</v>
      </c>
      <c r="P339" s="705" t="str">
        <f t="shared" si="512"/>
        <v>-</v>
      </c>
      <c r="Q339" s="705">
        <f t="shared" si="512"/>
        <v>3.0000000000000002E-2</v>
      </c>
      <c r="R339" s="705">
        <f t="shared" si="512"/>
        <v>0.02</v>
      </c>
      <c r="S339" s="1436"/>
    </row>
    <row r="340" spans="1:19" hidden="1" x14ac:dyDescent="0.2">
      <c r="A340" s="1435"/>
      <c r="B340" s="840">
        <v>19</v>
      </c>
      <c r="C340" s="705">
        <f t="shared" ref="C340:H340" si="513">AJ$37</f>
        <v>5</v>
      </c>
      <c r="D340" s="705">
        <f t="shared" si="513"/>
        <v>0.02</v>
      </c>
      <c r="E340" s="705">
        <f t="shared" si="513"/>
        <v>-0.02</v>
      </c>
      <c r="F340" s="705" t="str">
        <f t="shared" si="513"/>
        <v>-</v>
      </c>
      <c r="G340" s="705">
        <f t="shared" si="513"/>
        <v>0.02</v>
      </c>
      <c r="H340" s="705">
        <f t="shared" si="513"/>
        <v>0.05</v>
      </c>
      <c r="I340" s="1436">
        <v>7</v>
      </c>
      <c r="K340" s="1435"/>
      <c r="L340" s="840">
        <v>19</v>
      </c>
      <c r="M340" s="705">
        <f t="shared" ref="M340:R340" si="514">AJ$40</f>
        <v>20</v>
      </c>
      <c r="N340" s="705">
        <f t="shared" si="514"/>
        <v>-7.0000000000000007E-2</v>
      </c>
      <c r="O340" s="705">
        <f t="shared" si="514"/>
        <v>-0.03</v>
      </c>
      <c r="P340" s="705" t="str">
        <f t="shared" si="514"/>
        <v>-</v>
      </c>
      <c r="Q340" s="705">
        <f t="shared" si="514"/>
        <v>2.0000000000000004E-2</v>
      </c>
      <c r="R340" s="705">
        <f t="shared" si="514"/>
        <v>0.05</v>
      </c>
      <c r="S340" s="1436">
        <v>7</v>
      </c>
    </row>
    <row r="341" spans="1:19" hidden="1" x14ac:dyDescent="0.2">
      <c r="A341" s="1435"/>
      <c r="B341" s="840">
        <v>20</v>
      </c>
      <c r="C341" s="705">
        <f t="shared" ref="C341:H341" si="515">AJ$47</f>
        <v>5</v>
      </c>
      <c r="D341" s="705">
        <f t="shared" si="515"/>
        <v>-0.05</v>
      </c>
      <c r="E341" s="705">
        <f t="shared" si="515"/>
        <v>-0.05</v>
      </c>
      <c r="F341" s="705" t="str">
        <f t="shared" si="515"/>
        <v>-</v>
      </c>
      <c r="G341" s="705">
        <f t="shared" si="515"/>
        <v>0</v>
      </c>
      <c r="H341" s="705">
        <f t="shared" si="515"/>
        <v>0.06</v>
      </c>
      <c r="I341" s="1436"/>
      <c r="K341" s="1435"/>
      <c r="L341" s="840">
        <v>20</v>
      </c>
      <c r="M341" s="705">
        <f t="shared" ref="M341:R341" si="516">AJ$50</f>
        <v>20</v>
      </c>
      <c r="N341" s="705">
        <f t="shared" si="516"/>
        <v>-0.11</v>
      </c>
      <c r="O341" s="705">
        <f t="shared" si="516"/>
        <v>-0.14000000000000001</v>
      </c>
      <c r="P341" s="705" t="str">
        <f t="shared" si="516"/>
        <v>-</v>
      </c>
      <c r="Q341" s="705">
        <f t="shared" si="516"/>
        <v>1.5000000000000006E-2</v>
      </c>
      <c r="R341" s="705">
        <f t="shared" si="516"/>
        <v>0.06</v>
      </c>
      <c r="S341" s="1436"/>
    </row>
    <row r="342" spans="1:19" hidden="1" x14ac:dyDescent="0.2">
      <c r="A342" s="1435"/>
      <c r="B342" s="840">
        <v>21</v>
      </c>
      <c r="C342" s="705">
        <f t="shared" ref="C342:H342" si="517">AQ$37</f>
        <v>5</v>
      </c>
      <c r="D342" s="705">
        <f t="shared" si="517"/>
        <v>-0.06</v>
      </c>
      <c r="E342" s="705">
        <f t="shared" si="517"/>
        <v>-0.04</v>
      </c>
      <c r="F342" s="705" t="str">
        <f t="shared" si="517"/>
        <v>-</v>
      </c>
      <c r="G342" s="705">
        <f t="shared" si="517"/>
        <v>9.9999999999999985E-3</v>
      </c>
      <c r="H342" s="705">
        <f t="shared" si="517"/>
        <v>0.05</v>
      </c>
      <c r="I342" s="1436"/>
      <c r="K342" s="1435"/>
      <c r="L342" s="840">
        <v>21</v>
      </c>
      <c r="M342" s="705">
        <f t="shared" ref="M342:R342" si="518">AQ$40</f>
        <v>20</v>
      </c>
      <c r="N342" s="705">
        <f t="shared" si="518"/>
        <v>-0.12</v>
      </c>
      <c r="O342" s="705">
        <f t="shared" si="518"/>
        <v>-0.14000000000000001</v>
      </c>
      <c r="P342" s="705" t="str">
        <f t="shared" si="518"/>
        <v>-</v>
      </c>
      <c r="Q342" s="705">
        <f t="shared" si="518"/>
        <v>1.0000000000000009E-2</v>
      </c>
      <c r="R342" s="705">
        <f t="shared" si="518"/>
        <v>0.05</v>
      </c>
      <c r="S342" s="1436"/>
    </row>
    <row r="343" spans="1:19" hidden="1" x14ac:dyDescent="0.2">
      <c r="A343" s="1435"/>
      <c r="B343" s="840">
        <v>22</v>
      </c>
      <c r="C343" s="705">
        <f t="shared" ref="C343:H343" si="519">AQ$47</f>
        <v>5</v>
      </c>
      <c r="D343" s="705">
        <f t="shared" si="519"/>
        <v>-0.04</v>
      </c>
      <c r="E343" s="705">
        <f t="shared" si="519"/>
        <v>-0.03</v>
      </c>
      <c r="F343" s="705" t="str">
        <f t="shared" si="519"/>
        <v>-</v>
      </c>
      <c r="G343" s="705">
        <f t="shared" si="519"/>
        <v>5.000000000000001E-3</v>
      </c>
      <c r="H343" s="705">
        <f t="shared" si="519"/>
        <v>0.06</v>
      </c>
      <c r="I343" s="1436"/>
      <c r="K343" s="1435"/>
      <c r="L343" s="840">
        <v>22</v>
      </c>
      <c r="M343" s="705">
        <f t="shared" ref="M343:R343" si="520">AQ$50</f>
        <v>20</v>
      </c>
      <c r="N343" s="705">
        <f t="shared" si="520"/>
        <v>-0.1</v>
      </c>
      <c r="O343" s="705">
        <f t="shared" si="520"/>
        <v>-0.13</v>
      </c>
      <c r="P343" s="705" t="str">
        <f t="shared" si="520"/>
        <v>-</v>
      </c>
      <c r="Q343" s="705">
        <f t="shared" si="520"/>
        <v>1.4999999999999999E-2</v>
      </c>
      <c r="R343" s="705">
        <f t="shared" si="520"/>
        <v>0.06</v>
      </c>
      <c r="S343" s="1436"/>
    </row>
    <row r="344" spans="1:19" hidden="1" x14ac:dyDescent="0.2">
      <c r="A344" s="1435"/>
      <c r="B344" s="840">
        <v>23</v>
      </c>
      <c r="C344" s="705">
        <f t="shared" ref="C344:H344" si="521">AJ$88</f>
        <v>5</v>
      </c>
      <c r="D344" s="705">
        <f t="shared" si="521"/>
        <v>-0.08</v>
      </c>
      <c r="E344" s="705">
        <f t="shared" si="521"/>
        <v>-0.01</v>
      </c>
      <c r="F344" s="705" t="str">
        <f t="shared" si="521"/>
        <v>-</v>
      </c>
      <c r="G344" s="705">
        <f t="shared" si="521"/>
        <v>3.5000000000000003E-2</v>
      </c>
      <c r="H344" s="705">
        <f t="shared" si="521"/>
        <v>0.05</v>
      </c>
      <c r="I344" s="1436">
        <v>8</v>
      </c>
      <c r="K344" s="1435"/>
      <c r="L344" s="840">
        <v>23</v>
      </c>
      <c r="M344" s="705">
        <f t="shared" ref="M344:R344" si="522">AJ$91</f>
        <v>20</v>
      </c>
      <c r="N344" s="705">
        <f t="shared" si="522"/>
        <v>-0.13</v>
      </c>
      <c r="O344" s="705">
        <f t="shared" si="522"/>
        <v>-7.0000000000000007E-2</v>
      </c>
      <c r="P344" s="705" t="str">
        <f t="shared" si="522"/>
        <v>-</v>
      </c>
      <c r="Q344" s="705">
        <f t="shared" si="522"/>
        <v>0.03</v>
      </c>
      <c r="R344" s="705">
        <f t="shared" si="522"/>
        <v>0.05</v>
      </c>
      <c r="S344" s="1436">
        <v>8</v>
      </c>
    </row>
    <row r="345" spans="1:19" hidden="1" x14ac:dyDescent="0.2">
      <c r="A345" s="1435"/>
      <c r="B345" s="840">
        <v>24</v>
      </c>
      <c r="C345" s="705">
        <f t="shared" ref="C345:H345" si="523">AJ$98</f>
        <v>5</v>
      </c>
      <c r="D345" s="705">
        <f t="shared" si="523"/>
        <v>-0.05</v>
      </c>
      <c r="E345" s="705">
        <f t="shared" si="523"/>
        <v>-0.04</v>
      </c>
      <c r="F345" s="705" t="str">
        <f t="shared" si="523"/>
        <v>-</v>
      </c>
      <c r="G345" s="705">
        <f t="shared" si="523"/>
        <v>5.000000000000001E-3</v>
      </c>
      <c r="H345" s="705">
        <f t="shared" si="523"/>
        <v>0.05</v>
      </c>
      <c r="I345" s="1436"/>
      <c r="K345" s="1435"/>
      <c r="L345" s="840">
        <v>24</v>
      </c>
      <c r="M345" s="705">
        <f t="shared" ref="M345:R345" si="524">AJ$101</f>
        <v>20</v>
      </c>
      <c r="N345" s="705">
        <f t="shared" si="524"/>
        <v>-0.09</v>
      </c>
      <c r="O345" s="705">
        <f t="shared" si="524"/>
        <v>-0.1</v>
      </c>
      <c r="P345" s="705" t="str">
        <f t="shared" si="524"/>
        <v>-</v>
      </c>
      <c r="Q345" s="705">
        <f t="shared" si="524"/>
        <v>5.0000000000000044E-3</v>
      </c>
      <c r="R345" s="705">
        <f t="shared" si="524"/>
        <v>0.05</v>
      </c>
      <c r="S345" s="1436"/>
    </row>
    <row r="346" spans="1:19" hidden="1" x14ac:dyDescent="0.2">
      <c r="A346" s="1435"/>
      <c r="B346" s="840">
        <v>25</v>
      </c>
      <c r="C346" s="705">
        <f t="shared" ref="C346:H346" si="525">AQ$88</f>
        <v>5</v>
      </c>
      <c r="D346" s="705">
        <f t="shared" si="525"/>
        <v>-0.03</v>
      </c>
      <c r="E346" s="705">
        <f t="shared" si="525"/>
        <v>-0.05</v>
      </c>
      <c r="F346" s="705" t="str">
        <f t="shared" si="525"/>
        <v>-</v>
      </c>
      <c r="G346" s="705">
        <f t="shared" si="525"/>
        <v>1.0000000000000002E-2</v>
      </c>
      <c r="H346" s="705">
        <f t="shared" si="525"/>
        <v>0.05</v>
      </c>
      <c r="I346" s="1436"/>
      <c r="K346" s="1435"/>
      <c r="L346" s="840">
        <v>25</v>
      </c>
      <c r="M346" s="705">
        <f t="shared" ref="M346:R346" si="526">AQ$91</f>
        <v>20</v>
      </c>
      <c r="N346" s="705">
        <f t="shared" si="526"/>
        <v>-0.11</v>
      </c>
      <c r="O346" s="705">
        <f t="shared" si="526"/>
        <v>-0.14000000000000001</v>
      </c>
      <c r="P346" s="705" t="str">
        <f t="shared" si="526"/>
        <v>-</v>
      </c>
      <c r="Q346" s="705">
        <f t="shared" si="526"/>
        <v>1.5000000000000006E-2</v>
      </c>
      <c r="R346" s="705">
        <f t="shared" si="526"/>
        <v>0.05</v>
      </c>
      <c r="S346" s="1436"/>
    </row>
    <row r="347" spans="1:19" hidden="1" x14ac:dyDescent="0.2">
      <c r="A347" s="1435"/>
      <c r="B347" s="840">
        <v>26</v>
      </c>
      <c r="C347" s="705">
        <f t="shared" ref="C347:H347" si="527">AQ$98</f>
        <v>5</v>
      </c>
      <c r="D347" s="705">
        <f t="shared" si="527"/>
        <v>-0.02</v>
      </c>
      <c r="E347" s="705">
        <f t="shared" si="527"/>
        <v>0.01</v>
      </c>
      <c r="F347" s="705" t="str">
        <f t="shared" si="527"/>
        <v>-</v>
      </c>
      <c r="G347" s="705">
        <f t="shared" si="527"/>
        <v>1.4999999999999999E-2</v>
      </c>
      <c r="H347" s="705">
        <f t="shared" si="527"/>
        <v>0.05</v>
      </c>
      <c r="I347" s="1436"/>
      <c r="K347" s="1435"/>
      <c r="L347" s="840">
        <v>26</v>
      </c>
      <c r="M347" s="705">
        <f t="shared" ref="M347:R347" si="528">AQ$101</f>
        <v>20</v>
      </c>
      <c r="N347" s="705">
        <f t="shared" si="528"/>
        <v>-0.09</v>
      </c>
      <c r="O347" s="705">
        <f t="shared" si="528"/>
        <v>-0.09</v>
      </c>
      <c r="P347" s="705" t="str">
        <f t="shared" si="528"/>
        <v>-</v>
      </c>
      <c r="Q347" s="705">
        <f t="shared" si="528"/>
        <v>0</v>
      </c>
      <c r="R347" s="705">
        <f t="shared" si="528"/>
        <v>0.05</v>
      </c>
      <c r="S347" s="1436"/>
    </row>
    <row r="348" spans="1:19" hidden="1" x14ac:dyDescent="0.2">
      <c r="A348" s="1435"/>
      <c r="B348" s="840">
        <v>27</v>
      </c>
      <c r="C348" s="705">
        <f t="shared" ref="C348:H348" si="529">AX$37</f>
        <v>10</v>
      </c>
      <c r="D348" s="705">
        <f t="shared" si="529"/>
        <v>-0.11</v>
      </c>
      <c r="E348" s="705" t="str">
        <f t="shared" si="529"/>
        <v>-</v>
      </c>
      <c r="F348" s="705" t="str">
        <f t="shared" si="529"/>
        <v>-</v>
      </c>
      <c r="G348" s="705">
        <f t="shared" si="529"/>
        <v>0</v>
      </c>
      <c r="H348" s="705">
        <f t="shared" si="529"/>
        <v>0.05</v>
      </c>
      <c r="I348" s="1436">
        <v>9</v>
      </c>
      <c r="K348" s="1435"/>
      <c r="L348" s="840">
        <v>27</v>
      </c>
      <c r="M348" s="705">
        <f t="shared" ref="M348:R348" si="530">AX$40</f>
        <v>35</v>
      </c>
      <c r="N348" s="705">
        <f t="shared" si="530"/>
        <v>-0.18</v>
      </c>
      <c r="O348" s="705" t="str">
        <f t="shared" si="530"/>
        <v>-</v>
      </c>
      <c r="P348" s="705" t="str">
        <f t="shared" si="530"/>
        <v>-</v>
      </c>
      <c r="Q348" s="705">
        <f t="shared" si="530"/>
        <v>0</v>
      </c>
      <c r="R348" s="705">
        <f t="shared" si="530"/>
        <v>0.05</v>
      </c>
      <c r="S348" s="1436">
        <v>9</v>
      </c>
    </row>
    <row r="349" spans="1:19" hidden="1" x14ac:dyDescent="0.2">
      <c r="A349" s="1435"/>
      <c r="B349" s="840">
        <v>28</v>
      </c>
      <c r="C349" s="705">
        <f t="shared" ref="C349:H349" si="531">AX$47</f>
        <v>10</v>
      </c>
      <c r="D349" s="705">
        <f t="shared" si="531"/>
        <v>-0.1</v>
      </c>
      <c r="E349" s="705" t="str">
        <f t="shared" si="531"/>
        <v>-</v>
      </c>
      <c r="F349" s="705" t="str">
        <f t="shared" si="531"/>
        <v>-</v>
      </c>
      <c r="G349" s="705">
        <f t="shared" si="531"/>
        <v>0</v>
      </c>
      <c r="H349" s="705">
        <f t="shared" si="531"/>
        <v>0.05</v>
      </c>
      <c r="I349" s="1436"/>
      <c r="K349" s="1435"/>
      <c r="L349" s="840">
        <v>28</v>
      </c>
      <c r="M349" s="705">
        <f t="shared" ref="M349:R349" si="532">AX$50</f>
        <v>35</v>
      </c>
      <c r="N349" s="705">
        <f t="shared" si="532"/>
        <v>-0.23</v>
      </c>
      <c r="O349" s="705" t="str">
        <f t="shared" si="532"/>
        <v>-</v>
      </c>
      <c r="P349" s="705" t="str">
        <f t="shared" si="532"/>
        <v>-</v>
      </c>
      <c r="Q349" s="705">
        <f t="shared" si="532"/>
        <v>0</v>
      </c>
      <c r="R349" s="705">
        <f t="shared" si="532"/>
        <v>0.05</v>
      </c>
      <c r="S349" s="1436"/>
    </row>
    <row r="350" spans="1:19" hidden="1" x14ac:dyDescent="0.2">
      <c r="A350" s="1435"/>
      <c r="B350" s="840">
        <v>29</v>
      </c>
      <c r="C350" s="705">
        <f t="shared" ref="C350:H350" si="533">BE$37</f>
        <v>10</v>
      </c>
      <c r="D350" s="705">
        <f t="shared" si="533"/>
        <v>-0.15</v>
      </c>
      <c r="E350" s="705" t="str">
        <f t="shared" si="533"/>
        <v>-</v>
      </c>
      <c r="F350" s="705" t="str">
        <f t="shared" si="533"/>
        <v>-</v>
      </c>
      <c r="G350" s="705">
        <f t="shared" si="533"/>
        <v>0</v>
      </c>
      <c r="H350" s="705">
        <f t="shared" si="533"/>
        <v>0.06</v>
      </c>
      <c r="I350" s="1436"/>
      <c r="K350" s="1435"/>
      <c r="L350" s="840">
        <v>29</v>
      </c>
      <c r="M350" s="705">
        <f t="shared" ref="M350:R350" si="534">BE$40</f>
        <v>35</v>
      </c>
      <c r="N350" s="705">
        <f t="shared" si="534"/>
        <v>-0.16</v>
      </c>
      <c r="O350" s="705" t="str">
        <f t="shared" si="534"/>
        <v>-</v>
      </c>
      <c r="P350" s="705" t="str">
        <f t="shared" si="534"/>
        <v>-</v>
      </c>
      <c r="Q350" s="705">
        <f t="shared" si="534"/>
        <v>0</v>
      </c>
      <c r="R350" s="705">
        <f t="shared" si="534"/>
        <v>0.06</v>
      </c>
      <c r="S350" s="1436"/>
    </row>
    <row r="351" spans="1:19" hidden="1" x14ac:dyDescent="0.2">
      <c r="A351" s="1435"/>
      <c r="B351" s="840">
        <v>30</v>
      </c>
      <c r="C351" s="705">
        <f t="shared" ref="C351:H351" si="535">BE$47</f>
        <v>10</v>
      </c>
      <c r="D351" s="705">
        <f t="shared" si="535"/>
        <v>-0.09</v>
      </c>
      <c r="E351" s="705" t="str">
        <f t="shared" si="535"/>
        <v>-</v>
      </c>
      <c r="F351" s="705" t="str">
        <f t="shared" si="535"/>
        <v>-</v>
      </c>
      <c r="G351" s="705">
        <f t="shared" si="535"/>
        <v>0</v>
      </c>
      <c r="H351" s="705">
        <f t="shared" si="535"/>
        <v>0.06</v>
      </c>
      <c r="I351" s="1436"/>
      <c r="K351" s="1435"/>
      <c r="L351" s="840">
        <v>30</v>
      </c>
      <c r="M351" s="705">
        <f t="shared" ref="M351:R351" si="536">BE$50</f>
        <v>35</v>
      </c>
      <c r="N351" s="705">
        <f t="shared" si="536"/>
        <v>-0.11</v>
      </c>
      <c r="O351" s="705" t="str">
        <f t="shared" si="536"/>
        <v>-</v>
      </c>
      <c r="P351" s="705" t="str">
        <f t="shared" si="536"/>
        <v>-</v>
      </c>
      <c r="Q351" s="705">
        <f t="shared" si="536"/>
        <v>0</v>
      </c>
      <c r="R351" s="705">
        <f t="shared" si="536"/>
        <v>0.06</v>
      </c>
      <c r="S351" s="1436"/>
    </row>
    <row r="352" spans="1:19" hidden="1" x14ac:dyDescent="0.2">
      <c r="A352" s="1435"/>
      <c r="B352" s="840">
        <v>31</v>
      </c>
      <c r="C352" s="705">
        <f t="shared" ref="C352:H352" si="537">AX$88</f>
        <v>10</v>
      </c>
      <c r="D352" s="705" t="str">
        <f t="shared" si="537"/>
        <v>-</v>
      </c>
      <c r="E352" s="705" t="str">
        <f t="shared" si="537"/>
        <v>-</v>
      </c>
      <c r="F352" s="705" t="str">
        <f t="shared" si="537"/>
        <v>-</v>
      </c>
      <c r="G352" s="705">
        <f t="shared" si="537"/>
        <v>0</v>
      </c>
      <c r="H352" s="705">
        <f t="shared" si="537"/>
        <v>0</v>
      </c>
      <c r="I352" s="1436">
        <v>10</v>
      </c>
      <c r="K352" s="1435"/>
      <c r="L352" s="840">
        <v>31</v>
      </c>
      <c r="M352" s="705">
        <f t="shared" ref="M352:R352" si="538">AX$91</f>
        <v>40</v>
      </c>
      <c r="N352" s="705" t="str">
        <f t="shared" si="538"/>
        <v>-</v>
      </c>
      <c r="O352" s="705" t="str">
        <f t="shared" si="538"/>
        <v>-</v>
      </c>
      <c r="P352" s="705" t="str">
        <f t="shared" si="538"/>
        <v>-</v>
      </c>
      <c r="Q352" s="705">
        <f t="shared" si="538"/>
        <v>0</v>
      </c>
      <c r="R352" s="705">
        <f t="shared" si="538"/>
        <v>0</v>
      </c>
      <c r="S352" s="1436">
        <v>10</v>
      </c>
    </row>
    <row r="353" spans="1:19" hidden="1" x14ac:dyDescent="0.2">
      <c r="A353" s="1435"/>
      <c r="B353" s="840">
        <v>32</v>
      </c>
      <c r="C353" s="705">
        <f t="shared" ref="C353:H353" si="539">AX$98</f>
        <v>10</v>
      </c>
      <c r="D353" s="705" t="str">
        <f t="shared" si="539"/>
        <v>-</v>
      </c>
      <c r="E353" s="705" t="str">
        <f t="shared" si="539"/>
        <v>-</v>
      </c>
      <c r="F353" s="705" t="str">
        <f t="shared" si="539"/>
        <v>-</v>
      </c>
      <c r="G353" s="705">
        <f t="shared" si="539"/>
        <v>0</v>
      </c>
      <c r="H353" s="705">
        <f t="shared" si="539"/>
        <v>0</v>
      </c>
      <c r="I353" s="1436"/>
      <c r="K353" s="1435"/>
      <c r="L353" s="840">
        <v>32</v>
      </c>
      <c r="M353" s="705">
        <f t="shared" ref="M353:R353" si="540">AX$101</f>
        <v>40</v>
      </c>
      <c r="N353" s="705" t="str">
        <f t="shared" si="540"/>
        <v>-</v>
      </c>
      <c r="O353" s="705" t="str">
        <f t="shared" si="540"/>
        <v>-</v>
      </c>
      <c r="P353" s="705" t="str">
        <f t="shared" si="540"/>
        <v>-</v>
      </c>
      <c r="Q353" s="705">
        <f t="shared" si="540"/>
        <v>0</v>
      </c>
      <c r="R353" s="705">
        <f t="shared" si="540"/>
        <v>0</v>
      </c>
      <c r="S353" s="1436"/>
    </row>
    <row r="354" spans="1:19" hidden="1" x14ac:dyDescent="0.2">
      <c r="A354" s="1435"/>
      <c r="B354" s="840">
        <v>33</v>
      </c>
      <c r="C354" s="705">
        <f t="shared" ref="C354:H354" si="541">BE$88</f>
        <v>10</v>
      </c>
      <c r="D354" s="705" t="str">
        <f t="shared" si="541"/>
        <v>-</v>
      </c>
      <c r="E354" s="705" t="str">
        <f t="shared" si="541"/>
        <v>-</v>
      </c>
      <c r="F354" s="705" t="str">
        <f t="shared" si="541"/>
        <v>-</v>
      </c>
      <c r="G354" s="705">
        <f t="shared" si="541"/>
        <v>0</v>
      </c>
      <c r="H354" s="705">
        <f t="shared" si="541"/>
        <v>0</v>
      </c>
      <c r="I354" s="1436"/>
      <c r="K354" s="1435"/>
      <c r="L354" s="840">
        <v>33</v>
      </c>
      <c r="M354" s="705">
        <f t="shared" ref="M354:R354" si="542">BE$91</f>
        <v>40</v>
      </c>
      <c r="N354" s="705" t="str">
        <f t="shared" si="542"/>
        <v>-</v>
      </c>
      <c r="O354" s="705" t="str">
        <f t="shared" si="542"/>
        <v>-</v>
      </c>
      <c r="P354" s="705" t="str">
        <f t="shared" si="542"/>
        <v>-</v>
      </c>
      <c r="Q354" s="705">
        <f t="shared" si="542"/>
        <v>0</v>
      </c>
      <c r="R354" s="705">
        <f t="shared" si="542"/>
        <v>0</v>
      </c>
      <c r="S354" s="1436"/>
    </row>
    <row r="355" spans="1:19" hidden="1" x14ac:dyDescent="0.2">
      <c r="A355" s="1435"/>
      <c r="B355" s="840">
        <v>34</v>
      </c>
      <c r="C355" s="705">
        <f t="shared" ref="C355:H355" si="543">BE$98</f>
        <v>10</v>
      </c>
      <c r="D355" s="705" t="str">
        <f t="shared" si="543"/>
        <v>-</v>
      </c>
      <c r="E355" s="705" t="str">
        <f t="shared" si="543"/>
        <v>-</v>
      </c>
      <c r="F355" s="705" t="str">
        <f t="shared" si="543"/>
        <v>-</v>
      </c>
      <c r="G355" s="705">
        <f t="shared" si="543"/>
        <v>0</v>
      </c>
      <c r="H355" s="705">
        <f t="shared" si="543"/>
        <v>0</v>
      </c>
      <c r="I355" s="1436"/>
      <c r="K355" s="1435"/>
      <c r="L355" s="840">
        <v>34</v>
      </c>
      <c r="M355" s="705">
        <f t="shared" ref="M355:R355" si="544">BE$101</f>
        <v>40</v>
      </c>
      <c r="N355" s="705" t="str">
        <f t="shared" si="544"/>
        <v>-</v>
      </c>
      <c r="O355" s="705" t="str">
        <f t="shared" si="544"/>
        <v>-</v>
      </c>
      <c r="P355" s="705" t="str">
        <f t="shared" si="544"/>
        <v>-</v>
      </c>
      <c r="Q355" s="705">
        <f t="shared" si="544"/>
        <v>0</v>
      </c>
      <c r="R355" s="705">
        <f t="shared" si="544"/>
        <v>0</v>
      </c>
      <c r="S355" s="1436"/>
    </row>
    <row r="356" spans="1:19" hidden="1" x14ac:dyDescent="0.2">
      <c r="A356" s="536"/>
      <c r="B356" s="843"/>
      <c r="C356" s="461"/>
      <c r="D356" s="461"/>
      <c r="E356" s="461"/>
      <c r="F356" s="461"/>
      <c r="G356" s="461"/>
      <c r="H356" s="461"/>
      <c r="I356" s="844"/>
      <c r="K356" s="537"/>
      <c r="L356" s="837"/>
      <c r="M356" s="703"/>
      <c r="N356" s="703"/>
      <c r="O356" s="703"/>
      <c r="P356" s="703"/>
      <c r="Q356" s="703"/>
      <c r="R356" s="703"/>
      <c r="S356" s="428"/>
    </row>
    <row r="357" spans="1:19" hidden="1" x14ac:dyDescent="0.2">
      <c r="A357" s="1435" t="s">
        <v>53</v>
      </c>
      <c r="B357" s="840">
        <v>1</v>
      </c>
      <c r="C357" s="705">
        <f>A$38</f>
        <v>15</v>
      </c>
      <c r="D357" s="705">
        <f t="shared" ref="D357:F357" si="545">B$38</f>
        <v>-0.06</v>
      </c>
      <c r="E357" s="705">
        <f t="shared" si="545"/>
        <v>-7.0000000000000007E-2</v>
      </c>
      <c r="F357" s="705" t="str">
        <f t="shared" si="545"/>
        <v>-</v>
      </c>
      <c r="G357" s="705">
        <f>E$38</f>
        <v>5.0000000000000044E-3</v>
      </c>
      <c r="H357" s="705">
        <f>F$38</f>
        <v>0.02</v>
      </c>
      <c r="I357" s="1436">
        <v>1</v>
      </c>
      <c r="K357" s="1435" t="s">
        <v>56</v>
      </c>
      <c r="L357" s="840">
        <v>1</v>
      </c>
      <c r="M357" s="705">
        <f t="shared" ref="M357:R357" si="546">A$41</f>
        <v>30</v>
      </c>
      <c r="N357" s="705">
        <f t="shared" si="546"/>
        <v>-0.02</v>
      </c>
      <c r="O357" s="705">
        <f t="shared" si="546"/>
        <v>-0.09</v>
      </c>
      <c r="P357" s="705" t="str">
        <f t="shared" si="546"/>
        <v>-</v>
      </c>
      <c r="Q357" s="705">
        <f t="shared" si="546"/>
        <v>3.4999999999999996E-2</v>
      </c>
      <c r="R357" s="705">
        <f t="shared" si="546"/>
        <v>0.02</v>
      </c>
      <c r="S357" s="1436">
        <v>1</v>
      </c>
    </row>
    <row r="358" spans="1:19" hidden="1" x14ac:dyDescent="0.2">
      <c r="A358" s="1435"/>
      <c r="B358" s="840">
        <v>2</v>
      </c>
      <c r="C358" s="705">
        <f>A$48</f>
        <v>15</v>
      </c>
      <c r="D358" s="705">
        <f t="shared" ref="D358:F358" si="547">B$48</f>
        <v>-0.02</v>
      </c>
      <c r="E358" s="705">
        <f t="shared" si="547"/>
        <v>-0.01</v>
      </c>
      <c r="F358" s="705" t="str">
        <f t="shared" si="547"/>
        <v>-</v>
      </c>
      <c r="G358" s="705">
        <f>E$48</f>
        <v>5.0000000000000001E-3</v>
      </c>
      <c r="H358" s="705">
        <f>F$48</f>
        <v>0.02</v>
      </c>
      <c r="I358" s="1436"/>
      <c r="K358" s="1435"/>
      <c r="L358" s="840">
        <v>2</v>
      </c>
      <c r="M358" s="705">
        <f t="shared" ref="M358:R358" si="548">A$51</f>
        <v>30</v>
      </c>
      <c r="N358" s="705">
        <f t="shared" si="548"/>
        <v>-7.0000000000000007E-2</v>
      </c>
      <c r="O358" s="705">
        <f t="shared" si="548"/>
        <v>-0.02</v>
      </c>
      <c r="P358" s="705" t="str">
        <f t="shared" si="548"/>
        <v>-</v>
      </c>
      <c r="Q358" s="705">
        <f t="shared" si="548"/>
        <v>2.5000000000000001E-2</v>
      </c>
      <c r="R358" s="705">
        <f t="shared" si="548"/>
        <v>0.02</v>
      </c>
      <c r="S358" s="1436"/>
    </row>
    <row r="359" spans="1:19" hidden="1" x14ac:dyDescent="0.2">
      <c r="A359" s="1435"/>
      <c r="B359" s="840">
        <v>3</v>
      </c>
      <c r="C359" s="705">
        <f t="shared" ref="C359:H359" si="549">H$38</f>
        <v>15</v>
      </c>
      <c r="D359" s="705">
        <f t="shared" si="549"/>
        <v>0.01</v>
      </c>
      <c r="E359" s="705">
        <f t="shared" si="549"/>
        <v>-0.04</v>
      </c>
      <c r="F359" s="705" t="str">
        <f t="shared" si="549"/>
        <v>-</v>
      </c>
      <c r="G359" s="705">
        <f t="shared" si="549"/>
        <v>2.5000000000000001E-2</v>
      </c>
      <c r="H359" s="705">
        <f t="shared" si="549"/>
        <v>0.02</v>
      </c>
      <c r="I359" s="1436"/>
      <c r="K359" s="1435"/>
      <c r="L359" s="840">
        <v>3</v>
      </c>
      <c r="M359" s="705">
        <f t="shared" ref="M359:R359" si="550">H$41</f>
        <v>30</v>
      </c>
      <c r="N359" s="705">
        <f t="shared" si="550"/>
        <v>0.01</v>
      </c>
      <c r="O359" s="705">
        <f t="shared" si="550"/>
        <v>-0.01</v>
      </c>
      <c r="P359" s="705" t="str">
        <f t="shared" si="550"/>
        <v>-</v>
      </c>
      <c r="Q359" s="705">
        <f t="shared" si="550"/>
        <v>0.01</v>
      </c>
      <c r="R359" s="705">
        <f t="shared" si="550"/>
        <v>0.02</v>
      </c>
      <c r="S359" s="1436"/>
    </row>
    <row r="360" spans="1:19" hidden="1" x14ac:dyDescent="0.2">
      <c r="A360" s="1435"/>
      <c r="B360" s="840">
        <v>4</v>
      </c>
      <c r="C360" s="705">
        <f t="shared" ref="C360:H360" si="551">H$48</f>
        <v>15</v>
      </c>
      <c r="D360" s="705">
        <f t="shared" si="551"/>
        <v>-0.08</v>
      </c>
      <c r="E360" s="705">
        <f t="shared" si="551"/>
        <v>-0.04</v>
      </c>
      <c r="F360" s="705" t="str">
        <f t="shared" si="551"/>
        <v>-</v>
      </c>
      <c r="G360" s="705">
        <f t="shared" si="551"/>
        <v>0.02</v>
      </c>
      <c r="H360" s="705">
        <f t="shared" si="551"/>
        <v>0.02</v>
      </c>
      <c r="I360" s="1436"/>
      <c r="K360" s="1435"/>
      <c r="L360" s="840">
        <v>4</v>
      </c>
      <c r="M360" s="705">
        <f t="shared" ref="M360:R360" si="552">H$51</f>
        <v>30</v>
      </c>
      <c r="N360" s="705">
        <f t="shared" si="552"/>
        <v>-7.0000000000000007E-2</v>
      </c>
      <c r="O360" s="705">
        <f t="shared" si="552"/>
        <v>9.9999999999999995E-7</v>
      </c>
      <c r="P360" s="705" t="str">
        <f t="shared" si="552"/>
        <v>-</v>
      </c>
      <c r="Q360" s="705">
        <f t="shared" si="552"/>
        <v>3.5000500000000004E-2</v>
      </c>
      <c r="R360" s="705">
        <f t="shared" si="552"/>
        <v>0.02</v>
      </c>
      <c r="S360" s="1436"/>
    </row>
    <row r="361" spans="1:19" hidden="1" x14ac:dyDescent="0.2">
      <c r="A361" s="1435"/>
      <c r="B361" s="840">
        <v>5</v>
      </c>
      <c r="C361" s="705">
        <f t="shared" ref="C361:H361" si="553">O$38</f>
        <v>15</v>
      </c>
      <c r="D361" s="705">
        <f t="shared" si="553"/>
        <v>-0.05</v>
      </c>
      <c r="E361" s="705">
        <f t="shared" si="553"/>
        <v>-0.09</v>
      </c>
      <c r="F361" s="705">
        <f t="shared" si="553"/>
        <v>0.01</v>
      </c>
      <c r="G361" s="705">
        <f t="shared" si="553"/>
        <v>4.9999999999999996E-2</v>
      </c>
      <c r="H361" s="705">
        <f t="shared" si="553"/>
        <v>0.05</v>
      </c>
      <c r="I361" s="841">
        <v>2</v>
      </c>
      <c r="K361" s="1435"/>
      <c r="L361" s="840">
        <v>5</v>
      </c>
      <c r="M361" s="705">
        <f t="shared" ref="M361:R361" si="554">O$41</f>
        <v>30</v>
      </c>
      <c r="N361" s="705">
        <f t="shared" si="554"/>
        <v>-0.16</v>
      </c>
      <c r="O361" s="705">
        <f t="shared" si="554"/>
        <v>-0.08</v>
      </c>
      <c r="P361" s="705">
        <f t="shared" si="554"/>
        <v>9.9999999999999995E-7</v>
      </c>
      <c r="Q361" s="705">
        <f t="shared" si="554"/>
        <v>8.0000500000000002E-2</v>
      </c>
      <c r="R361" s="705">
        <f t="shared" si="554"/>
        <v>0.05</v>
      </c>
      <c r="S361" s="841">
        <v>2</v>
      </c>
    </row>
    <row r="362" spans="1:19" hidden="1" x14ac:dyDescent="0.2">
      <c r="A362" s="1435"/>
      <c r="B362" s="840">
        <v>6</v>
      </c>
      <c r="C362" s="705">
        <f t="shared" ref="C362:H362" si="555">V$38</f>
        <v>10</v>
      </c>
      <c r="D362" s="705">
        <f t="shared" si="555"/>
        <v>-0.02</v>
      </c>
      <c r="E362" s="705">
        <f t="shared" si="555"/>
        <v>-0.14000000000000001</v>
      </c>
      <c r="F362" s="705">
        <f t="shared" si="555"/>
        <v>-0.02</v>
      </c>
      <c r="G362" s="705">
        <f t="shared" si="555"/>
        <v>6.0000000000000005E-2</v>
      </c>
      <c r="H362" s="705">
        <f t="shared" si="555"/>
        <v>0.05</v>
      </c>
      <c r="I362" s="1436">
        <v>3</v>
      </c>
      <c r="K362" s="1435"/>
      <c r="L362" s="840">
        <v>6</v>
      </c>
      <c r="M362" s="705">
        <f t="shared" ref="M362:R362" si="556">V$41</f>
        <v>30</v>
      </c>
      <c r="N362" s="705">
        <f t="shared" si="556"/>
        <v>-0.18</v>
      </c>
      <c r="O362" s="705">
        <f t="shared" si="556"/>
        <v>-0.27</v>
      </c>
      <c r="P362" s="705">
        <f t="shared" si="556"/>
        <v>9.9999999999999995E-7</v>
      </c>
      <c r="Q362" s="705">
        <f t="shared" si="556"/>
        <v>0.1350005</v>
      </c>
      <c r="R362" s="705">
        <f t="shared" si="556"/>
        <v>0.05</v>
      </c>
      <c r="S362" s="1436">
        <v>3</v>
      </c>
    </row>
    <row r="363" spans="1:19" hidden="1" x14ac:dyDescent="0.2">
      <c r="A363" s="1435"/>
      <c r="B363" s="840">
        <v>7</v>
      </c>
      <c r="C363" s="705">
        <f t="shared" ref="C363:H363" si="557">V$48</f>
        <v>10</v>
      </c>
      <c r="D363" s="705">
        <f t="shared" si="557"/>
        <v>-0.05</v>
      </c>
      <c r="E363" s="705">
        <f t="shared" si="557"/>
        <v>-0.04</v>
      </c>
      <c r="F363" s="705">
        <f t="shared" si="557"/>
        <v>-0.03</v>
      </c>
      <c r="G363" s="705">
        <f t="shared" si="557"/>
        <v>1.0000000000000002E-2</v>
      </c>
      <c r="H363" s="705">
        <f t="shared" si="557"/>
        <v>0.05</v>
      </c>
      <c r="I363" s="1436"/>
      <c r="K363" s="1435"/>
      <c r="L363" s="840">
        <v>7</v>
      </c>
      <c r="M363" s="705">
        <f t="shared" ref="M363:R363" si="558">V$51</f>
        <v>30</v>
      </c>
      <c r="N363" s="705">
        <f t="shared" si="558"/>
        <v>-0.45</v>
      </c>
      <c r="O363" s="705">
        <f t="shared" si="558"/>
        <v>0.03</v>
      </c>
      <c r="P363" s="705">
        <f t="shared" si="558"/>
        <v>9.9999999999999995E-7</v>
      </c>
      <c r="Q363" s="705">
        <f t="shared" si="558"/>
        <v>0.24</v>
      </c>
      <c r="R363" s="705">
        <f t="shared" si="558"/>
        <v>0.05</v>
      </c>
      <c r="S363" s="1436"/>
    </row>
    <row r="364" spans="1:19" hidden="1" x14ac:dyDescent="0.2">
      <c r="A364" s="1435"/>
      <c r="B364" s="840">
        <v>8</v>
      </c>
      <c r="C364" s="705">
        <f t="shared" ref="C364:H364" si="559">AC$38</f>
        <v>10</v>
      </c>
      <c r="D364" s="705">
        <f t="shared" si="559"/>
        <v>-0.02</v>
      </c>
      <c r="E364" s="705">
        <f t="shared" si="559"/>
        <v>-0.1</v>
      </c>
      <c r="F364" s="705">
        <f t="shared" si="559"/>
        <v>-0.02</v>
      </c>
      <c r="G364" s="705">
        <f t="shared" si="559"/>
        <v>0.04</v>
      </c>
      <c r="H364" s="705">
        <f t="shared" si="559"/>
        <v>0.05</v>
      </c>
      <c r="I364" s="1436"/>
      <c r="K364" s="1435"/>
      <c r="L364" s="840">
        <v>8</v>
      </c>
      <c r="M364" s="705">
        <f t="shared" ref="M364:R364" si="560">AC$41</f>
        <v>30</v>
      </c>
      <c r="N364" s="705">
        <f t="shared" si="560"/>
        <v>-0.23</v>
      </c>
      <c r="O364" s="705">
        <f t="shared" si="560"/>
        <v>-0.15</v>
      </c>
      <c r="P364" s="705">
        <f t="shared" si="560"/>
        <v>9.9999999999999995E-7</v>
      </c>
      <c r="Q364" s="705">
        <f t="shared" si="560"/>
        <v>0.11500050000000001</v>
      </c>
      <c r="R364" s="705">
        <f t="shared" si="560"/>
        <v>0.05</v>
      </c>
      <c r="S364" s="1436"/>
    </row>
    <row r="365" spans="1:19" hidden="1" x14ac:dyDescent="0.2">
      <c r="A365" s="1435"/>
      <c r="B365" s="840">
        <v>9</v>
      </c>
      <c r="C365" s="705">
        <f t="shared" ref="C365:H365" si="561">AC$48</f>
        <v>10</v>
      </c>
      <c r="D365" s="705">
        <f t="shared" si="561"/>
        <v>0.08</v>
      </c>
      <c r="E365" s="705">
        <f t="shared" si="561"/>
        <v>0.09</v>
      </c>
      <c r="F365" s="705">
        <f t="shared" si="561"/>
        <v>-0.02</v>
      </c>
      <c r="G365" s="705">
        <f t="shared" si="561"/>
        <v>5.5E-2</v>
      </c>
      <c r="H365" s="705">
        <f t="shared" si="561"/>
        <v>0.05</v>
      </c>
      <c r="I365" s="1436"/>
      <c r="K365" s="1435"/>
      <c r="L365" s="840">
        <v>9</v>
      </c>
      <c r="M365" s="705">
        <f t="shared" ref="M365:R365" si="562">AC$51</f>
        <v>30</v>
      </c>
      <c r="N365" s="705">
        <f t="shared" si="562"/>
        <v>-0.05</v>
      </c>
      <c r="O365" s="705">
        <f t="shared" si="562"/>
        <v>0.12</v>
      </c>
      <c r="P365" s="705">
        <f t="shared" si="562"/>
        <v>9.9999999999999995E-7</v>
      </c>
      <c r="Q365" s="705">
        <f t="shared" si="562"/>
        <v>8.4999999999999992E-2</v>
      </c>
      <c r="R365" s="705">
        <f t="shared" si="562"/>
        <v>0.05</v>
      </c>
      <c r="S365" s="1436"/>
    </row>
    <row r="366" spans="1:19" hidden="1" x14ac:dyDescent="0.2">
      <c r="A366" s="1435"/>
      <c r="B366" s="840">
        <v>10</v>
      </c>
      <c r="C366" s="705">
        <f>A$90</f>
        <v>20</v>
      </c>
      <c r="D366" s="705">
        <f t="shared" ref="D366:F366" si="563">B$90</f>
        <v>9.9999999999999995E-7</v>
      </c>
      <c r="E366" s="705" t="str">
        <f t="shared" si="563"/>
        <v>-</v>
      </c>
      <c r="F366" s="705" t="str">
        <f t="shared" si="563"/>
        <v>-</v>
      </c>
      <c r="G366" s="705">
        <f>E$90</f>
        <v>0</v>
      </c>
      <c r="H366" s="705">
        <f>F$90</f>
        <v>0.02</v>
      </c>
      <c r="I366" s="1436">
        <v>4</v>
      </c>
      <c r="K366" s="1435"/>
      <c r="L366" s="840">
        <v>10</v>
      </c>
      <c r="M366" s="705">
        <f t="shared" ref="M366:R366" si="564">A$92</f>
        <v>30</v>
      </c>
      <c r="N366" s="705">
        <f t="shared" si="564"/>
        <v>0.03</v>
      </c>
      <c r="O366" s="705" t="str">
        <f t="shared" si="564"/>
        <v>-</v>
      </c>
      <c r="P366" s="705" t="str">
        <f t="shared" si="564"/>
        <v>-</v>
      </c>
      <c r="Q366" s="705">
        <f t="shared" si="564"/>
        <v>0</v>
      </c>
      <c r="R366" s="705">
        <f t="shared" si="564"/>
        <v>0.02</v>
      </c>
      <c r="S366" s="1436">
        <v>4</v>
      </c>
    </row>
    <row r="367" spans="1:19" hidden="1" x14ac:dyDescent="0.2">
      <c r="A367" s="1435"/>
      <c r="B367" s="840">
        <v>11</v>
      </c>
      <c r="C367" s="705">
        <f>A$100</f>
        <v>20</v>
      </c>
      <c r="D367" s="705">
        <f t="shared" ref="D367:F367" si="565">B$100</f>
        <v>-0.03</v>
      </c>
      <c r="E367" s="705" t="str">
        <f t="shared" si="565"/>
        <v>-</v>
      </c>
      <c r="F367" s="705" t="str">
        <f t="shared" si="565"/>
        <v>-</v>
      </c>
      <c r="G367" s="705">
        <f>E$100</f>
        <v>0</v>
      </c>
      <c r="H367" s="705">
        <f>F$100</f>
        <v>0.02</v>
      </c>
      <c r="I367" s="1436"/>
      <c r="K367" s="1435"/>
      <c r="L367" s="840">
        <v>11</v>
      </c>
      <c r="M367" s="705">
        <f t="shared" ref="M367:R367" si="566">A$102</f>
        <v>30</v>
      </c>
      <c r="N367" s="705">
        <f t="shared" si="566"/>
        <v>-0.03</v>
      </c>
      <c r="O367" s="705" t="str">
        <f t="shared" si="566"/>
        <v>-</v>
      </c>
      <c r="P367" s="705" t="str">
        <f t="shared" si="566"/>
        <v>-</v>
      </c>
      <c r="Q367" s="705">
        <f t="shared" si="566"/>
        <v>0</v>
      </c>
      <c r="R367" s="705">
        <f t="shared" si="566"/>
        <v>0.02</v>
      </c>
      <c r="S367" s="1436"/>
    </row>
    <row r="368" spans="1:19" hidden="1" x14ac:dyDescent="0.2">
      <c r="A368" s="1435"/>
      <c r="B368" s="840">
        <v>12</v>
      </c>
      <c r="C368" s="705">
        <f t="shared" ref="C368:H368" si="567">H$90</f>
        <v>20</v>
      </c>
      <c r="D368" s="705">
        <f t="shared" si="567"/>
        <v>0.02</v>
      </c>
      <c r="E368" s="705" t="str">
        <f t="shared" si="567"/>
        <v>-</v>
      </c>
      <c r="F368" s="705" t="str">
        <f t="shared" si="567"/>
        <v>-</v>
      </c>
      <c r="G368" s="705">
        <f t="shared" si="567"/>
        <v>0</v>
      </c>
      <c r="H368" s="705">
        <f t="shared" si="567"/>
        <v>0.02</v>
      </c>
      <c r="I368" s="1436"/>
      <c r="K368" s="1435"/>
      <c r="L368" s="840">
        <v>12</v>
      </c>
      <c r="M368" s="705">
        <f t="shared" ref="M368:R368" si="568">H$92</f>
        <v>30</v>
      </c>
      <c r="N368" s="705">
        <f t="shared" si="568"/>
        <v>0.02</v>
      </c>
      <c r="O368" s="705" t="str">
        <f t="shared" si="568"/>
        <v>-</v>
      </c>
      <c r="P368" s="705" t="str">
        <f t="shared" si="568"/>
        <v>-</v>
      </c>
      <c r="Q368" s="705">
        <f t="shared" si="568"/>
        <v>0</v>
      </c>
      <c r="R368" s="705">
        <f t="shared" si="568"/>
        <v>0.02</v>
      </c>
      <c r="S368" s="1436"/>
    </row>
    <row r="369" spans="1:19" hidden="1" x14ac:dyDescent="0.2">
      <c r="A369" s="1435"/>
      <c r="B369" s="840">
        <v>13</v>
      </c>
      <c r="C369" s="705">
        <f t="shared" ref="C369:H369" si="569">H$100</f>
        <v>20</v>
      </c>
      <c r="D369" s="705">
        <f t="shared" si="569"/>
        <v>0.02</v>
      </c>
      <c r="E369" s="705" t="str">
        <f t="shared" si="569"/>
        <v>-</v>
      </c>
      <c r="F369" s="705" t="str">
        <f t="shared" si="569"/>
        <v>-</v>
      </c>
      <c r="G369" s="705">
        <f t="shared" si="569"/>
        <v>0</v>
      </c>
      <c r="H369" s="705">
        <f t="shared" si="569"/>
        <v>0.03</v>
      </c>
      <c r="I369" s="1436"/>
      <c r="K369" s="1435"/>
      <c r="L369" s="840">
        <v>13</v>
      </c>
      <c r="M369" s="705">
        <f t="shared" ref="M369:R369" si="570">H$102</f>
        <v>30</v>
      </c>
      <c r="N369" s="705">
        <f t="shared" si="570"/>
        <v>0.03</v>
      </c>
      <c r="O369" s="705" t="str">
        <f t="shared" si="570"/>
        <v>-</v>
      </c>
      <c r="P369" s="705" t="str">
        <f t="shared" si="570"/>
        <v>-</v>
      </c>
      <c r="Q369" s="705">
        <f t="shared" si="570"/>
        <v>0</v>
      </c>
      <c r="R369" s="705">
        <f t="shared" si="570"/>
        <v>0.03</v>
      </c>
      <c r="S369" s="1436"/>
    </row>
    <row r="370" spans="1:19" hidden="1" x14ac:dyDescent="0.2">
      <c r="A370" s="1435"/>
      <c r="B370" s="840">
        <v>14</v>
      </c>
      <c r="C370" s="705">
        <f t="shared" ref="C370:H370" si="571">O$89</f>
        <v>0</v>
      </c>
      <c r="D370" s="705" t="str">
        <f t="shared" si="571"/>
        <v>-</v>
      </c>
      <c r="E370" s="705" t="str">
        <f t="shared" si="571"/>
        <v>-</v>
      </c>
      <c r="F370" s="705">
        <f t="shared" si="571"/>
        <v>0</v>
      </c>
      <c r="G370" s="705">
        <f t="shared" si="571"/>
        <v>0</v>
      </c>
      <c r="H370" s="705">
        <f t="shared" si="571"/>
        <v>0.11</v>
      </c>
      <c r="I370" s="841">
        <v>5</v>
      </c>
      <c r="K370" s="1435"/>
      <c r="L370" s="840">
        <v>14</v>
      </c>
      <c r="M370" s="705">
        <f t="shared" ref="M370:R370" si="572">O$92</f>
        <v>0</v>
      </c>
      <c r="N370" s="705" t="str">
        <f t="shared" si="572"/>
        <v>-</v>
      </c>
      <c r="O370" s="705" t="str">
        <f t="shared" si="572"/>
        <v>-</v>
      </c>
      <c r="P370" s="705">
        <f t="shared" si="572"/>
        <v>0</v>
      </c>
      <c r="Q370" s="705">
        <f t="shared" si="572"/>
        <v>0</v>
      </c>
      <c r="R370" s="705">
        <f t="shared" si="572"/>
        <v>1.0999999999999999E-2</v>
      </c>
      <c r="S370" s="841">
        <v>5</v>
      </c>
    </row>
    <row r="371" spans="1:19" hidden="1" x14ac:dyDescent="0.2">
      <c r="A371" s="1435"/>
      <c r="B371" s="840">
        <v>15</v>
      </c>
      <c r="C371" s="705">
        <f t="shared" ref="C371:H371" si="573">V$89</f>
        <v>10</v>
      </c>
      <c r="D371" s="705">
        <f t="shared" si="573"/>
        <v>7.0000000000000007E-2</v>
      </c>
      <c r="E371" s="705">
        <f t="shared" si="573"/>
        <v>-0.03</v>
      </c>
      <c r="F371" s="705" t="str">
        <f t="shared" si="573"/>
        <v>-</v>
      </c>
      <c r="G371" s="705">
        <f t="shared" si="573"/>
        <v>0.05</v>
      </c>
      <c r="H371" s="705">
        <f t="shared" si="573"/>
        <v>0.02</v>
      </c>
      <c r="I371" s="1436">
        <v>6</v>
      </c>
      <c r="K371" s="1435"/>
      <c r="L371" s="840">
        <v>15</v>
      </c>
      <c r="M371" s="705">
        <f t="shared" ref="M371:R371" si="574">V$92</f>
        <v>30</v>
      </c>
      <c r="N371" s="705">
        <f t="shared" si="574"/>
        <v>0.06</v>
      </c>
      <c r="O371" s="705">
        <f t="shared" si="574"/>
        <v>0.03</v>
      </c>
      <c r="P371" s="705" t="str">
        <f t="shared" si="574"/>
        <v>-</v>
      </c>
      <c r="Q371" s="705">
        <f t="shared" si="574"/>
        <v>1.4999999999999999E-2</v>
      </c>
      <c r="R371" s="705">
        <f t="shared" si="574"/>
        <v>0.02</v>
      </c>
      <c r="S371" s="1436">
        <v>6</v>
      </c>
    </row>
    <row r="372" spans="1:19" hidden="1" x14ac:dyDescent="0.2">
      <c r="A372" s="1435"/>
      <c r="B372" s="840">
        <v>16</v>
      </c>
      <c r="C372" s="705">
        <f t="shared" ref="C372:H372" si="575">V$99</f>
        <v>10</v>
      </c>
      <c r="D372" s="705">
        <f t="shared" si="575"/>
        <v>0.02</v>
      </c>
      <c r="E372" s="705">
        <f t="shared" si="575"/>
        <v>-0.02</v>
      </c>
      <c r="F372" s="705" t="str">
        <f t="shared" si="575"/>
        <v>-</v>
      </c>
      <c r="G372" s="705">
        <f t="shared" si="575"/>
        <v>0.02</v>
      </c>
      <c r="H372" s="705">
        <f t="shared" si="575"/>
        <v>0.02</v>
      </c>
      <c r="I372" s="1436"/>
      <c r="K372" s="1435"/>
      <c r="L372" s="840">
        <v>16</v>
      </c>
      <c r="M372" s="705">
        <f t="shared" ref="M372:R372" si="576">V$102</f>
        <v>30</v>
      </c>
      <c r="N372" s="705">
        <f t="shared" si="576"/>
        <v>0.05</v>
      </c>
      <c r="O372" s="705">
        <f t="shared" si="576"/>
        <v>-0.01</v>
      </c>
      <c r="P372" s="705" t="str">
        <f t="shared" si="576"/>
        <v>-</v>
      </c>
      <c r="Q372" s="705">
        <f t="shared" si="576"/>
        <v>3.0000000000000002E-2</v>
      </c>
      <c r="R372" s="705">
        <f t="shared" si="576"/>
        <v>0.02</v>
      </c>
      <c r="S372" s="1436"/>
    </row>
    <row r="373" spans="1:19" hidden="1" x14ac:dyDescent="0.2">
      <c r="A373" s="1435"/>
      <c r="B373" s="840">
        <v>17</v>
      </c>
      <c r="C373" s="705">
        <f t="shared" ref="C373:H373" si="577">AC$89</f>
        <v>10</v>
      </c>
      <c r="D373" s="705">
        <f t="shared" si="577"/>
        <v>9.9999999999999995E-7</v>
      </c>
      <c r="E373" s="705">
        <f t="shared" si="577"/>
        <v>-0.01</v>
      </c>
      <c r="F373" s="705" t="str">
        <f t="shared" si="577"/>
        <v>-</v>
      </c>
      <c r="G373" s="705">
        <f t="shared" si="577"/>
        <v>5.0004999999999997E-3</v>
      </c>
      <c r="H373" s="705">
        <f t="shared" si="577"/>
        <v>0.02</v>
      </c>
      <c r="I373" s="1436"/>
      <c r="K373" s="1435"/>
      <c r="L373" s="840">
        <v>17</v>
      </c>
      <c r="M373" s="705">
        <f t="shared" ref="M373:R373" si="578">AC$92</f>
        <v>30</v>
      </c>
      <c r="N373" s="705">
        <f t="shared" si="578"/>
        <v>-0.02</v>
      </c>
      <c r="O373" s="705">
        <f t="shared" si="578"/>
        <v>-0.01</v>
      </c>
      <c r="P373" s="705" t="str">
        <f t="shared" si="578"/>
        <v>-</v>
      </c>
      <c r="Q373" s="705">
        <f t="shared" si="578"/>
        <v>5.0000000000000001E-3</v>
      </c>
      <c r="R373" s="705">
        <f t="shared" si="578"/>
        <v>0.02</v>
      </c>
      <c r="S373" s="1436"/>
    </row>
    <row r="374" spans="1:19" hidden="1" x14ac:dyDescent="0.2">
      <c r="A374" s="1435"/>
      <c r="B374" s="840">
        <v>18</v>
      </c>
      <c r="C374" s="705">
        <f t="shared" ref="C374:H374" si="579">AC$99</f>
        <v>10</v>
      </c>
      <c r="D374" s="705">
        <f t="shared" si="579"/>
        <v>-0.08</v>
      </c>
      <c r="E374" s="705">
        <f t="shared" si="579"/>
        <v>-0.01</v>
      </c>
      <c r="F374" s="705" t="str">
        <f t="shared" si="579"/>
        <v>-</v>
      </c>
      <c r="G374" s="705">
        <f t="shared" si="579"/>
        <v>3.5000000000000003E-2</v>
      </c>
      <c r="H374" s="705">
        <f t="shared" si="579"/>
        <v>0.02</v>
      </c>
      <c r="I374" s="1436"/>
      <c r="K374" s="1435"/>
      <c r="L374" s="840">
        <v>18</v>
      </c>
      <c r="M374" s="705">
        <f t="shared" ref="M374:R374" si="580">AC$102</f>
        <v>30</v>
      </c>
      <c r="N374" s="705">
        <f t="shared" si="580"/>
        <v>-7.0000000000000007E-2</v>
      </c>
      <c r="O374" s="705">
        <f t="shared" si="580"/>
        <v>-0.01</v>
      </c>
      <c r="P374" s="705" t="str">
        <f t="shared" si="580"/>
        <v>-</v>
      </c>
      <c r="Q374" s="705">
        <f t="shared" si="580"/>
        <v>3.0000000000000002E-2</v>
      </c>
      <c r="R374" s="705">
        <f t="shared" si="580"/>
        <v>0.02</v>
      </c>
      <c r="S374" s="1436"/>
    </row>
    <row r="375" spans="1:19" hidden="1" x14ac:dyDescent="0.2">
      <c r="A375" s="1435"/>
      <c r="B375" s="840">
        <v>19</v>
      </c>
      <c r="C375" s="705">
        <f t="shared" ref="C375:H375" si="581">AJ$38</f>
        <v>10</v>
      </c>
      <c r="D375" s="705">
        <f t="shared" si="581"/>
        <v>-0.01</v>
      </c>
      <c r="E375" s="705">
        <f t="shared" si="581"/>
        <v>-0.02</v>
      </c>
      <c r="F375" s="705" t="str">
        <f t="shared" si="581"/>
        <v>-</v>
      </c>
      <c r="G375" s="705">
        <f t="shared" si="581"/>
        <v>5.0000000000000001E-3</v>
      </c>
      <c r="H375" s="705">
        <f t="shared" si="581"/>
        <v>0.05</v>
      </c>
      <c r="I375" s="1436">
        <v>7</v>
      </c>
      <c r="K375" s="1435"/>
      <c r="L375" s="840">
        <v>19</v>
      </c>
      <c r="M375" s="705">
        <f t="shared" ref="M375:R375" si="582">AJ$41</f>
        <v>25</v>
      </c>
      <c r="N375" s="705">
        <f t="shared" si="582"/>
        <v>-0.09</v>
      </c>
      <c r="O375" s="705">
        <f t="shared" si="582"/>
        <v>-0.03</v>
      </c>
      <c r="P375" s="705" t="str">
        <f t="shared" si="582"/>
        <v>-</v>
      </c>
      <c r="Q375" s="705">
        <f t="shared" si="582"/>
        <v>0.03</v>
      </c>
      <c r="R375" s="705">
        <f t="shared" si="582"/>
        <v>0.05</v>
      </c>
      <c r="S375" s="1436">
        <v>7</v>
      </c>
    </row>
    <row r="376" spans="1:19" hidden="1" x14ac:dyDescent="0.2">
      <c r="A376" s="1435"/>
      <c r="B376" s="840">
        <v>20</v>
      </c>
      <c r="C376" s="705">
        <f t="shared" ref="C376:H376" si="583">AJ$48</f>
        <v>10</v>
      </c>
      <c r="D376" s="705">
        <f t="shared" si="583"/>
        <v>-0.09</v>
      </c>
      <c r="E376" s="705">
        <f t="shared" si="583"/>
        <v>-0.08</v>
      </c>
      <c r="F376" s="705" t="str">
        <f t="shared" si="583"/>
        <v>-</v>
      </c>
      <c r="G376" s="705">
        <f t="shared" si="583"/>
        <v>4.9999999999999975E-3</v>
      </c>
      <c r="H376" s="705">
        <f t="shared" si="583"/>
        <v>0.06</v>
      </c>
      <c r="I376" s="1436"/>
      <c r="K376" s="1435"/>
      <c r="L376" s="840">
        <v>20</v>
      </c>
      <c r="M376" s="705">
        <f t="shared" ref="M376:R376" si="584">AJ$51</f>
        <v>25</v>
      </c>
      <c r="N376" s="705">
        <f t="shared" si="584"/>
        <v>-0.12</v>
      </c>
      <c r="O376" s="705">
        <f t="shared" si="584"/>
        <v>-0.17</v>
      </c>
      <c r="P376" s="705" t="str">
        <f t="shared" si="584"/>
        <v>-</v>
      </c>
      <c r="Q376" s="705">
        <f t="shared" si="584"/>
        <v>2.5000000000000008E-2</v>
      </c>
      <c r="R376" s="705">
        <f t="shared" si="584"/>
        <v>0.06</v>
      </c>
      <c r="S376" s="1436"/>
    </row>
    <row r="377" spans="1:19" hidden="1" x14ac:dyDescent="0.2">
      <c r="A377" s="1435"/>
      <c r="B377" s="840">
        <v>21</v>
      </c>
      <c r="C377" s="705">
        <f t="shared" ref="C377:H377" si="585">AQ$38</f>
        <v>10</v>
      </c>
      <c r="D377" s="705">
        <f t="shared" si="585"/>
        <v>-0.08</v>
      </c>
      <c r="E377" s="705">
        <f t="shared" si="585"/>
        <v>-0.09</v>
      </c>
      <c r="F377" s="705" t="str">
        <f t="shared" si="585"/>
        <v>-</v>
      </c>
      <c r="G377" s="705">
        <f t="shared" si="585"/>
        <v>4.9999999999999975E-3</v>
      </c>
      <c r="H377" s="705">
        <f t="shared" si="585"/>
        <v>0.05</v>
      </c>
      <c r="I377" s="1436"/>
      <c r="K377" s="1435"/>
      <c r="L377" s="840">
        <v>21</v>
      </c>
      <c r="M377" s="705">
        <f t="shared" ref="M377:R377" si="586">AQ$41</f>
        <v>25</v>
      </c>
      <c r="N377" s="705">
        <f t="shared" si="586"/>
        <v>-0.12</v>
      </c>
      <c r="O377" s="705">
        <f t="shared" si="586"/>
        <v>-0.17</v>
      </c>
      <c r="P377" s="705" t="str">
        <f t="shared" si="586"/>
        <v>-</v>
      </c>
      <c r="Q377" s="705">
        <f t="shared" si="586"/>
        <v>2.5000000000000008E-2</v>
      </c>
      <c r="R377" s="705">
        <f t="shared" si="586"/>
        <v>0.05</v>
      </c>
      <c r="S377" s="1436"/>
    </row>
    <row r="378" spans="1:19" hidden="1" x14ac:dyDescent="0.2">
      <c r="A378" s="1435"/>
      <c r="B378" s="840">
        <v>22</v>
      </c>
      <c r="C378" s="705">
        <f t="shared" ref="C378:H378" si="587">AQ$48</f>
        <v>10</v>
      </c>
      <c r="D378" s="705">
        <f t="shared" si="587"/>
        <v>-0.06</v>
      </c>
      <c r="E378" s="705">
        <f t="shared" si="587"/>
        <v>-0.06</v>
      </c>
      <c r="F378" s="705" t="str">
        <f t="shared" si="587"/>
        <v>-</v>
      </c>
      <c r="G378" s="705">
        <f t="shared" si="587"/>
        <v>0</v>
      </c>
      <c r="H378" s="705">
        <f t="shared" si="587"/>
        <v>0.06</v>
      </c>
      <c r="I378" s="1436"/>
      <c r="K378" s="1435"/>
      <c r="L378" s="840">
        <v>22</v>
      </c>
      <c r="M378" s="705">
        <f t="shared" ref="M378:R378" si="588">AQ$51</f>
        <v>25</v>
      </c>
      <c r="N378" s="705">
        <f t="shared" si="588"/>
        <v>-0.09</v>
      </c>
      <c r="O378" s="705">
        <f t="shared" si="588"/>
        <v>-0.16</v>
      </c>
      <c r="P378" s="705" t="str">
        <f t="shared" si="588"/>
        <v>-</v>
      </c>
      <c r="Q378" s="705">
        <f t="shared" si="588"/>
        <v>3.5000000000000003E-2</v>
      </c>
      <c r="R378" s="705">
        <f t="shared" si="588"/>
        <v>0.06</v>
      </c>
      <c r="S378" s="1436"/>
    </row>
    <row r="379" spans="1:19" hidden="1" x14ac:dyDescent="0.2">
      <c r="A379" s="1435"/>
      <c r="B379" s="840">
        <v>23</v>
      </c>
      <c r="C379" s="705">
        <f t="shared" ref="C379:H379" si="589">AJ$89</f>
        <v>10</v>
      </c>
      <c r="D379" s="705">
        <f t="shared" si="589"/>
        <v>-0.12</v>
      </c>
      <c r="E379" s="705">
        <f t="shared" si="589"/>
        <v>-7.0000000000000007E-2</v>
      </c>
      <c r="F379" s="705" t="str">
        <f t="shared" si="589"/>
        <v>-</v>
      </c>
      <c r="G379" s="705">
        <f t="shared" si="589"/>
        <v>2.4999999999999994E-2</v>
      </c>
      <c r="H379" s="705">
        <f t="shared" si="589"/>
        <v>0.05</v>
      </c>
      <c r="I379" s="1436">
        <v>8</v>
      </c>
      <c r="K379" s="1435"/>
      <c r="L379" s="840">
        <v>23</v>
      </c>
      <c r="M379" s="705">
        <f t="shared" ref="M379:R379" si="590">AJ$92</f>
        <v>25</v>
      </c>
      <c r="N379" s="705">
        <f t="shared" si="590"/>
        <v>-0.14000000000000001</v>
      </c>
      <c r="O379" s="705">
        <f t="shared" si="590"/>
        <v>-0.09</v>
      </c>
      <c r="P379" s="705" t="str">
        <f t="shared" si="590"/>
        <v>-</v>
      </c>
      <c r="Q379" s="705">
        <f t="shared" si="590"/>
        <v>2.5000000000000008E-2</v>
      </c>
      <c r="R379" s="705">
        <f t="shared" si="590"/>
        <v>0.05</v>
      </c>
      <c r="S379" s="1436">
        <v>8</v>
      </c>
    </row>
    <row r="380" spans="1:19" hidden="1" x14ac:dyDescent="0.2">
      <c r="A380" s="1435"/>
      <c r="B380" s="840">
        <v>24</v>
      </c>
      <c r="C380" s="705">
        <f t="shared" ref="C380:H380" si="591">AJ$99</f>
        <v>10</v>
      </c>
      <c r="D380" s="705">
        <f t="shared" si="591"/>
        <v>-0.06</v>
      </c>
      <c r="E380" s="705">
        <f t="shared" si="591"/>
        <v>-7.0000000000000007E-2</v>
      </c>
      <c r="F380" s="705" t="str">
        <f t="shared" si="591"/>
        <v>-</v>
      </c>
      <c r="G380" s="705">
        <f t="shared" si="591"/>
        <v>5.0000000000000044E-3</v>
      </c>
      <c r="H380" s="705">
        <f t="shared" si="591"/>
        <v>0.05</v>
      </c>
      <c r="I380" s="1436"/>
      <c r="K380" s="1435"/>
      <c r="L380" s="840">
        <v>24</v>
      </c>
      <c r="M380" s="705">
        <f t="shared" ref="M380:R380" si="592">AJ$102</f>
        <v>25</v>
      </c>
      <c r="N380" s="705">
        <f t="shared" si="592"/>
        <v>-0.1</v>
      </c>
      <c r="O380" s="705">
        <f t="shared" si="592"/>
        <v>-0.1</v>
      </c>
      <c r="P380" s="705" t="str">
        <f t="shared" si="592"/>
        <v>-</v>
      </c>
      <c r="Q380" s="705">
        <f t="shared" si="592"/>
        <v>0</v>
      </c>
      <c r="R380" s="705">
        <f t="shared" si="592"/>
        <v>0.05</v>
      </c>
      <c r="S380" s="1436"/>
    </row>
    <row r="381" spans="1:19" hidden="1" x14ac:dyDescent="0.2">
      <c r="A381" s="1435"/>
      <c r="B381" s="840">
        <v>25</v>
      </c>
      <c r="C381" s="705">
        <f t="shared" ref="C381:H381" si="593">AQ$89</f>
        <v>10</v>
      </c>
      <c r="D381" s="705">
        <f t="shared" si="593"/>
        <v>-7.0000000000000007E-2</v>
      </c>
      <c r="E381" s="705">
        <f t="shared" si="593"/>
        <v>-0.08</v>
      </c>
      <c r="F381" s="705" t="str">
        <f t="shared" si="593"/>
        <v>-</v>
      </c>
      <c r="G381" s="705">
        <f t="shared" si="593"/>
        <v>4.9999999999999975E-3</v>
      </c>
      <c r="H381" s="705">
        <f t="shared" si="593"/>
        <v>0.05</v>
      </c>
      <c r="I381" s="1436"/>
      <c r="K381" s="1435"/>
      <c r="L381" s="840">
        <v>25</v>
      </c>
      <c r="M381" s="705">
        <f t="shared" ref="M381:R381" si="594">AQ$92</f>
        <v>25</v>
      </c>
      <c r="N381" s="705">
        <f t="shared" si="594"/>
        <v>-0.1</v>
      </c>
      <c r="O381" s="705">
        <f t="shared" si="594"/>
        <v>-0.16</v>
      </c>
      <c r="P381" s="705" t="str">
        <f t="shared" si="594"/>
        <v>-</v>
      </c>
      <c r="Q381" s="705">
        <f t="shared" si="594"/>
        <v>0.03</v>
      </c>
      <c r="R381" s="705">
        <f t="shared" si="594"/>
        <v>0.05</v>
      </c>
      <c r="S381" s="1436"/>
    </row>
    <row r="382" spans="1:19" hidden="1" x14ac:dyDescent="0.2">
      <c r="A382" s="1435"/>
      <c r="B382" s="840">
        <v>26</v>
      </c>
      <c r="C382" s="705">
        <f t="shared" ref="C382:H382" si="595">AQ$99</f>
        <v>10</v>
      </c>
      <c r="D382" s="705">
        <f t="shared" si="595"/>
        <v>-0.05</v>
      </c>
      <c r="E382" s="705">
        <f t="shared" si="595"/>
        <v>-0.04</v>
      </c>
      <c r="F382" s="705" t="str">
        <f t="shared" si="595"/>
        <v>-</v>
      </c>
      <c r="G382" s="705">
        <f t="shared" si="595"/>
        <v>5.000000000000001E-3</v>
      </c>
      <c r="H382" s="705">
        <f t="shared" si="595"/>
        <v>0.05</v>
      </c>
      <c r="I382" s="1436"/>
      <c r="K382" s="1435"/>
      <c r="L382" s="840">
        <v>26</v>
      </c>
      <c r="M382" s="705">
        <f t="shared" ref="M382:R382" si="596">AQ$102</f>
        <v>25</v>
      </c>
      <c r="N382" s="705">
        <f t="shared" si="596"/>
        <v>-0.06</v>
      </c>
      <c r="O382" s="705">
        <f t="shared" si="596"/>
        <v>-0.12</v>
      </c>
      <c r="P382" s="705" t="str">
        <f t="shared" si="596"/>
        <v>-</v>
      </c>
      <c r="Q382" s="705">
        <f t="shared" si="596"/>
        <v>0.03</v>
      </c>
      <c r="R382" s="705">
        <f t="shared" si="596"/>
        <v>0.05</v>
      </c>
      <c r="S382" s="1436"/>
    </row>
    <row r="383" spans="1:19" hidden="1" x14ac:dyDescent="0.2">
      <c r="A383" s="1435"/>
      <c r="B383" s="840">
        <v>27</v>
      </c>
      <c r="C383" s="705">
        <f t="shared" ref="C383:H383" si="597">AX$38</f>
        <v>20</v>
      </c>
      <c r="D383" s="705">
        <f t="shared" si="597"/>
        <v>-0.16</v>
      </c>
      <c r="E383" s="705" t="str">
        <f t="shared" si="597"/>
        <v>-</v>
      </c>
      <c r="F383" s="705" t="str">
        <f t="shared" si="597"/>
        <v>-</v>
      </c>
      <c r="G383" s="705">
        <f t="shared" si="597"/>
        <v>0</v>
      </c>
      <c r="H383" s="705">
        <f t="shared" si="597"/>
        <v>0.05</v>
      </c>
      <c r="I383" s="1436">
        <v>9</v>
      </c>
      <c r="K383" s="1435"/>
      <c r="L383" s="840">
        <v>27</v>
      </c>
      <c r="M383" s="705">
        <f t="shared" ref="M383:R383" si="598">AX$41</f>
        <v>40</v>
      </c>
      <c r="N383" s="705">
        <f t="shared" si="598"/>
        <v>-0.16</v>
      </c>
      <c r="O383" s="705" t="str">
        <f t="shared" si="598"/>
        <v>-</v>
      </c>
      <c r="P383" s="705" t="str">
        <f t="shared" si="598"/>
        <v>-</v>
      </c>
      <c r="Q383" s="705">
        <f t="shared" si="598"/>
        <v>0</v>
      </c>
      <c r="R383" s="705">
        <f t="shared" si="598"/>
        <v>0.05</v>
      </c>
      <c r="S383" s="1436">
        <v>9</v>
      </c>
    </row>
    <row r="384" spans="1:19" hidden="1" x14ac:dyDescent="0.2">
      <c r="A384" s="1435"/>
      <c r="B384" s="840">
        <v>28</v>
      </c>
      <c r="C384" s="705">
        <f t="shared" ref="C384:H384" si="599">AX$48</f>
        <v>20</v>
      </c>
      <c r="D384" s="705">
        <f t="shared" si="599"/>
        <v>-0.19</v>
      </c>
      <c r="E384" s="705" t="str">
        <f t="shared" si="599"/>
        <v>-</v>
      </c>
      <c r="F384" s="705" t="str">
        <f t="shared" si="599"/>
        <v>-</v>
      </c>
      <c r="G384" s="705">
        <f t="shared" si="599"/>
        <v>0</v>
      </c>
      <c r="H384" s="705">
        <f t="shared" si="599"/>
        <v>0.05</v>
      </c>
      <c r="I384" s="1436"/>
      <c r="K384" s="1435"/>
      <c r="L384" s="840">
        <v>28</v>
      </c>
      <c r="M384" s="705">
        <f t="shared" ref="M384:R384" si="600">AX$51</f>
        <v>40</v>
      </c>
      <c r="N384" s="705">
        <f t="shared" si="600"/>
        <v>-0.25</v>
      </c>
      <c r="O384" s="705" t="str">
        <f t="shared" si="600"/>
        <v>-</v>
      </c>
      <c r="P384" s="705" t="str">
        <f t="shared" si="600"/>
        <v>-</v>
      </c>
      <c r="Q384" s="705">
        <f t="shared" si="600"/>
        <v>0</v>
      </c>
      <c r="R384" s="705">
        <f t="shared" si="600"/>
        <v>0.05</v>
      </c>
      <c r="S384" s="1436"/>
    </row>
    <row r="385" spans="1:24" hidden="1" x14ac:dyDescent="0.2">
      <c r="A385" s="1435"/>
      <c r="B385" s="840">
        <v>29</v>
      </c>
      <c r="C385" s="705">
        <f t="shared" ref="C385:H385" si="601">BE$38</f>
        <v>20</v>
      </c>
      <c r="D385" s="705">
        <f t="shared" si="601"/>
        <v>-0.17</v>
      </c>
      <c r="E385" s="705" t="str">
        <f t="shared" si="601"/>
        <v>-</v>
      </c>
      <c r="F385" s="705" t="str">
        <f t="shared" si="601"/>
        <v>-</v>
      </c>
      <c r="G385" s="705">
        <f t="shared" si="601"/>
        <v>0</v>
      </c>
      <c r="H385" s="705">
        <f t="shared" si="601"/>
        <v>0.06</v>
      </c>
      <c r="I385" s="1436"/>
      <c r="K385" s="1435"/>
      <c r="L385" s="840">
        <v>29</v>
      </c>
      <c r="M385" s="705">
        <f t="shared" ref="M385:R385" si="602">BE$41</f>
        <v>40</v>
      </c>
      <c r="N385" s="705">
        <f t="shared" si="602"/>
        <v>-0.14000000000000001</v>
      </c>
      <c r="O385" s="705" t="str">
        <f t="shared" si="602"/>
        <v>-</v>
      </c>
      <c r="P385" s="705" t="str">
        <f t="shared" si="602"/>
        <v>-</v>
      </c>
      <c r="Q385" s="705">
        <f t="shared" si="602"/>
        <v>0</v>
      </c>
      <c r="R385" s="705">
        <f t="shared" si="602"/>
        <v>0.06</v>
      </c>
      <c r="S385" s="1436"/>
    </row>
    <row r="386" spans="1:24" hidden="1" x14ac:dyDescent="0.2">
      <c r="A386" s="1435"/>
      <c r="B386" s="840">
        <v>30</v>
      </c>
      <c r="C386" s="705">
        <f t="shared" ref="C386:H386" si="603">BE$48</f>
        <v>20</v>
      </c>
      <c r="D386" s="705">
        <f t="shared" si="603"/>
        <v>-0.11</v>
      </c>
      <c r="E386" s="705" t="str">
        <f t="shared" si="603"/>
        <v>-</v>
      </c>
      <c r="F386" s="705" t="str">
        <f t="shared" si="603"/>
        <v>-</v>
      </c>
      <c r="G386" s="705">
        <f t="shared" si="603"/>
        <v>0</v>
      </c>
      <c r="H386" s="705">
        <f t="shared" si="603"/>
        <v>0.06</v>
      </c>
      <c r="I386" s="1436"/>
      <c r="K386" s="1435"/>
      <c r="L386" s="840">
        <v>30</v>
      </c>
      <c r="M386" s="705">
        <f t="shared" ref="M386:R386" si="604">BE$51</f>
        <v>40</v>
      </c>
      <c r="N386" s="705">
        <f t="shared" si="604"/>
        <v>-0.09</v>
      </c>
      <c r="O386" s="705" t="str">
        <f t="shared" si="604"/>
        <v>-</v>
      </c>
      <c r="P386" s="705" t="str">
        <f t="shared" si="604"/>
        <v>-</v>
      </c>
      <c r="Q386" s="705">
        <f t="shared" si="604"/>
        <v>0</v>
      </c>
      <c r="R386" s="705">
        <f t="shared" si="604"/>
        <v>0.06</v>
      </c>
      <c r="S386" s="1436"/>
    </row>
    <row r="387" spans="1:24" hidden="1" x14ac:dyDescent="0.2">
      <c r="A387" s="1435"/>
      <c r="B387" s="840">
        <v>31</v>
      </c>
      <c r="C387" s="705">
        <f t="shared" ref="C387:H387" si="605">AX$89</f>
        <v>20</v>
      </c>
      <c r="D387" s="705" t="str">
        <f t="shared" si="605"/>
        <v>-</v>
      </c>
      <c r="E387" s="705" t="str">
        <f t="shared" si="605"/>
        <v>-</v>
      </c>
      <c r="F387" s="705" t="str">
        <f t="shared" si="605"/>
        <v>-</v>
      </c>
      <c r="G387" s="705">
        <f t="shared" si="605"/>
        <v>0</v>
      </c>
      <c r="H387" s="705">
        <f t="shared" si="605"/>
        <v>0</v>
      </c>
      <c r="I387" s="1436">
        <v>10</v>
      </c>
      <c r="K387" s="1435"/>
      <c r="L387" s="840">
        <v>31</v>
      </c>
      <c r="M387" s="705">
        <f t="shared" ref="M387:R387" si="606">AX$92</f>
        <v>50</v>
      </c>
      <c r="N387" s="705" t="str">
        <f t="shared" si="606"/>
        <v>-</v>
      </c>
      <c r="O387" s="705" t="str">
        <f t="shared" si="606"/>
        <v>-</v>
      </c>
      <c r="P387" s="705" t="str">
        <f t="shared" si="606"/>
        <v>-</v>
      </c>
      <c r="Q387" s="705">
        <f t="shared" si="606"/>
        <v>0</v>
      </c>
      <c r="R387" s="705">
        <f t="shared" si="606"/>
        <v>0</v>
      </c>
      <c r="S387" s="1436">
        <v>10</v>
      </c>
    </row>
    <row r="388" spans="1:24" hidden="1" x14ac:dyDescent="0.2">
      <c r="A388" s="1435"/>
      <c r="B388" s="840">
        <v>32</v>
      </c>
      <c r="C388" s="705">
        <f t="shared" ref="C388:H388" si="607">AX$99</f>
        <v>20</v>
      </c>
      <c r="D388" s="705" t="str">
        <f t="shared" si="607"/>
        <v>-</v>
      </c>
      <c r="E388" s="705" t="str">
        <f t="shared" si="607"/>
        <v>-</v>
      </c>
      <c r="F388" s="705" t="str">
        <f t="shared" si="607"/>
        <v>-</v>
      </c>
      <c r="G388" s="705">
        <f t="shared" si="607"/>
        <v>0</v>
      </c>
      <c r="H388" s="705">
        <f t="shared" si="607"/>
        <v>0</v>
      </c>
      <c r="I388" s="1436"/>
      <c r="K388" s="1435"/>
      <c r="L388" s="840">
        <v>32</v>
      </c>
      <c r="M388" s="705">
        <f t="shared" ref="M388:R388" si="608">AX$102</f>
        <v>50</v>
      </c>
      <c r="N388" s="705" t="str">
        <f t="shared" si="608"/>
        <v>-</v>
      </c>
      <c r="O388" s="705" t="str">
        <f t="shared" si="608"/>
        <v>-</v>
      </c>
      <c r="P388" s="705" t="str">
        <f t="shared" si="608"/>
        <v>-</v>
      </c>
      <c r="Q388" s="705">
        <f t="shared" si="608"/>
        <v>0</v>
      </c>
      <c r="R388" s="705">
        <f t="shared" si="608"/>
        <v>0</v>
      </c>
      <c r="S388" s="1436"/>
    </row>
    <row r="389" spans="1:24" hidden="1" x14ac:dyDescent="0.2">
      <c r="A389" s="1435"/>
      <c r="B389" s="840">
        <v>33</v>
      </c>
      <c r="C389" s="705">
        <f t="shared" ref="C389:H389" si="609">BE$89</f>
        <v>20</v>
      </c>
      <c r="D389" s="705" t="str">
        <f t="shared" si="609"/>
        <v>-</v>
      </c>
      <c r="E389" s="705" t="str">
        <f t="shared" si="609"/>
        <v>-</v>
      </c>
      <c r="F389" s="705" t="str">
        <f t="shared" si="609"/>
        <v>-</v>
      </c>
      <c r="G389" s="705">
        <f t="shared" si="609"/>
        <v>0</v>
      </c>
      <c r="H389" s="705">
        <f t="shared" si="609"/>
        <v>0</v>
      </c>
      <c r="I389" s="1436"/>
      <c r="K389" s="1435"/>
      <c r="L389" s="840">
        <v>33</v>
      </c>
      <c r="M389" s="705">
        <f t="shared" ref="M389:R389" si="610">BE$92</f>
        <v>50</v>
      </c>
      <c r="N389" s="705" t="str">
        <f t="shared" si="610"/>
        <v>-</v>
      </c>
      <c r="O389" s="705" t="str">
        <f t="shared" si="610"/>
        <v>-</v>
      </c>
      <c r="P389" s="705" t="str">
        <f t="shared" si="610"/>
        <v>-</v>
      </c>
      <c r="Q389" s="705">
        <f t="shared" si="610"/>
        <v>0</v>
      </c>
      <c r="R389" s="705">
        <f t="shared" si="610"/>
        <v>0</v>
      </c>
      <c r="S389" s="1436"/>
    </row>
    <row r="390" spans="1:24" hidden="1" x14ac:dyDescent="0.2">
      <c r="A390" s="1435"/>
      <c r="B390" s="840">
        <v>34</v>
      </c>
      <c r="C390" s="705">
        <f t="shared" ref="C390:H390" si="611">BE$99</f>
        <v>20</v>
      </c>
      <c r="D390" s="705" t="str">
        <f t="shared" si="611"/>
        <v>-</v>
      </c>
      <c r="E390" s="705" t="str">
        <f t="shared" si="611"/>
        <v>-</v>
      </c>
      <c r="F390" s="705" t="str">
        <f t="shared" si="611"/>
        <v>-</v>
      </c>
      <c r="G390" s="705">
        <f t="shared" si="611"/>
        <v>0</v>
      </c>
      <c r="H390" s="705">
        <f t="shared" si="611"/>
        <v>0</v>
      </c>
      <c r="I390" s="1436"/>
      <c r="K390" s="1435"/>
      <c r="L390" s="840">
        <v>34</v>
      </c>
      <c r="M390" s="705">
        <f t="shared" ref="M390:R390" si="612">BE$102</f>
        <v>50</v>
      </c>
      <c r="N390" s="705" t="str">
        <f t="shared" si="612"/>
        <v>-</v>
      </c>
      <c r="O390" s="705" t="str">
        <f t="shared" si="612"/>
        <v>-</v>
      </c>
      <c r="P390" s="705" t="str">
        <f t="shared" si="612"/>
        <v>-</v>
      </c>
      <c r="Q390" s="705">
        <f t="shared" si="612"/>
        <v>0</v>
      </c>
      <c r="R390" s="705">
        <f t="shared" si="612"/>
        <v>0</v>
      </c>
      <c r="S390" s="1436"/>
    </row>
    <row r="391" spans="1:24" x14ac:dyDescent="0.2">
      <c r="A391" s="528"/>
      <c r="B391" s="529"/>
      <c r="C391" s="529"/>
      <c r="D391" s="529"/>
      <c r="E391" s="529"/>
      <c r="F391" s="529"/>
      <c r="G391" s="529"/>
      <c r="H391" s="529"/>
      <c r="I391" s="529"/>
      <c r="J391" s="755"/>
      <c r="K391" s="755"/>
      <c r="L391" s="755"/>
      <c r="M391" s="755"/>
      <c r="N391" s="525"/>
      <c r="O391" s="755"/>
      <c r="P391" s="755"/>
      <c r="Q391" s="755"/>
    </row>
    <row r="392" spans="1:24" ht="28.5" customHeight="1" x14ac:dyDescent="0.2">
      <c r="A392" s="845">
        <f>A458</f>
        <v>25</v>
      </c>
      <c r="B392" s="1321" t="str">
        <f>A423</f>
        <v>Infusion device analyzer menggunakan channel 3 (IDA 5, SN : 5157005)</v>
      </c>
      <c r="C392" s="1321"/>
      <c r="D392" s="1321"/>
      <c r="E392" s="1321"/>
      <c r="F392" s="1321"/>
      <c r="I392" s="845">
        <f>A458</f>
        <v>25</v>
      </c>
      <c r="J392" s="1321" t="str">
        <f>A423</f>
        <v>Infusion device analyzer menggunakan channel 3 (IDA 5, SN : 5157005)</v>
      </c>
      <c r="K392" s="1321"/>
      <c r="L392" s="1321"/>
      <c r="M392" s="1321"/>
      <c r="N392" s="1321"/>
      <c r="O392" s="755"/>
      <c r="P392" s="755"/>
      <c r="Q392" s="755"/>
      <c r="X392" s="526"/>
    </row>
    <row r="393" spans="1:24" x14ac:dyDescent="0.2">
      <c r="A393" s="737" t="s">
        <v>165</v>
      </c>
      <c r="B393" s="1317" t="s">
        <v>286</v>
      </c>
      <c r="C393" s="1317"/>
      <c r="D393" s="1317"/>
      <c r="E393" s="737" t="s">
        <v>287</v>
      </c>
      <c r="F393" s="1462" t="s">
        <v>391</v>
      </c>
      <c r="G393" s="526"/>
      <c r="I393" s="758" t="s">
        <v>403</v>
      </c>
      <c r="J393" s="1446" t="s">
        <v>286</v>
      </c>
      <c r="K393" s="1446"/>
      <c r="L393" s="1446"/>
      <c r="M393" s="758" t="s">
        <v>287</v>
      </c>
      <c r="N393" s="1463" t="s">
        <v>391</v>
      </c>
      <c r="O393" s="526"/>
      <c r="P393" s="755"/>
      <c r="Q393" s="755"/>
    </row>
    <row r="394" spans="1:24" ht="15" x14ac:dyDescent="0.2">
      <c r="A394" s="738" t="s">
        <v>426</v>
      </c>
      <c r="B394" s="739">
        <f>VLOOKUP(B392,A424:L457,9,FALSE)</f>
        <v>2022</v>
      </c>
      <c r="C394" s="739">
        <f>VLOOKUP(B392,A424:L457,10,FALSE)</f>
        <v>2021</v>
      </c>
      <c r="D394" s="739" t="str">
        <f>VLOOKUP(B392,A424:L457,11,FALSE)</f>
        <v>-</v>
      </c>
      <c r="E394" s="737"/>
      <c r="F394" s="1462"/>
      <c r="G394" s="456"/>
      <c r="I394" s="738" t="s">
        <v>404</v>
      </c>
      <c r="J394" s="756">
        <f>B394</f>
        <v>2022</v>
      </c>
      <c r="K394" s="756">
        <f>C394</f>
        <v>2021</v>
      </c>
      <c r="L394" s="756" t="str">
        <f>D394</f>
        <v>-</v>
      </c>
      <c r="M394" s="758"/>
      <c r="N394" s="1463"/>
      <c r="P394" s="529"/>
      <c r="Q394" s="529"/>
    </row>
    <row r="395" spans="1:24" x14ac:dyDescent="0.2">
      <c r="A395" s="455">
        <f>VLOOKUP(A392,B107:H140,2)</f>
        <v>0</v>
      </c>
      <c r="B395" s="670">
        <f>VLOOKUP(A392,B107:H140,3,FALSE)</f>
        <v>9.9999999999999995E-7</v>
      </c>
      <c r="C395" s="670">
        <f>VLOOKUP($A$392,$B$107:$H$140,4,FALSE)</f>
        <v>9.9999999999999995E-7</v>
      </c>
      <c r="D395" s="670" t="str">
        <f>VLOOKUP($A$392,$B$107:$H$140,5,FALSE)</f>
        <v>-</v>
      </c>
      <c r="E395" s="670">
        <f>VLOOKUP($A$392,B107:H140,6,FALSE)</f>
        <v>9.9999999999999995E-7</v>
      </c>
      <c r="F395" s="670">
        <f>VLOOKUP($A$392,B107:H140,7,FALSE)</f>
        <v>0.57999999999999996</v>
      </c>
      <c r="G395" s="456"/>
      <c r="I395" s="4">
        <f>VLOOKUP(I392,B287:H320,2,(FALSE))</f>
        <v>0</v>
      </c>
      <c r="J395" s="846">
        <f>VLOOKUP(I392,B287:H320,3,(FALSE))</f>
        <v>9.9999999999999995E-7</v>
      </c>
      <c r="K395" s="846">
        <f>VLOOKUP($I$392,$B$287:$H$320,4,(FALSE))</f>
        <v>9.9999999999999995E-7</v>
      </c>
      <c r="L395" s="846" t="str">
        <f>VLOOKUP($I$392,$B$287:$H$320,5,(FALSE))</f>
        <v>-</v>
      </c>
      <c r="M395" s="846">
        <f>VLOOKUP($I$392,$B$287:$H$320,6,(FALSE))</f>
        <v>9.9999999999999995E-7</v>
      </c>
      <c r="N395" s="846">
        <f>VLOOKUP($I$392,$B$287:$H$320,7,(FALSE))</f>
        <v>0.05</v>
      </c>
      <c r="P395" s="529"/>
      <c r="Q395" s="529"/>
    </row>
    <row r="396" spans="1:24" x14ac:dyDescent="0.2">
      <c r="A396" s="455">
        <f>VLOOKUP(A392,B142:H175,2)</f>
        <v>10</v>
      </c>
      <c r="B396" s="670">
        <f>VLOOKUP(A392,B142:H175,3,FALSE)</f>
        <v>-0.5</v>
      </c>
      <c r="C396" s="670">
        <f>VLOOKUP($A$392,$B$142:$H$175,4,FALSE)</f>
        <v>-0.06</v>
      </c>
      <c r="D396" s="670" t="str">
        <f>VLOOKUP($A$392,$B$142:$H$175,5,FALSE)</f>
        <v>-</v>
      </c>
      <c r="E396" s="670">
        <f>VLOOKUP($A$392,B142:H175,6,FALSE)</f>
        <v>0.22</v>
      </c>
      <c r="F396" s="670">
        <f>VLOOKUP($A$392,B142:H175,7,FALSE)</f>
        <v>0.57999999999999996</v>
      </c>
      <c r="G396" s="526"/>
      <c r="I396" s="4">
        <f>VLOOKUP(I392,B322:H355,2,(FALSE))</f>
        <v>5</v>
      </c>
      <c r="J396" s="846">
        <f>VLOOKUP(I392,B322:H355,3,(FALSE))</f>
        <v>-0.03</v>
      </c>
      <c r="K396" s="846">
        <f>VLOOKUP($I$392,$B$322:$H$355,4,(FALSE))</f>
        <v>-0.05</v>
      </c>
      <c r="L396" s="846" t="str">
        <f>VLOOKUP($I$392,$B$322:$H$355,5,(FALSE))</f>
        <v>-</v>
      </c>
      <c r="M396" s="846">
        <f>VLOOKUP($I$392,$B$322:$H$355,6,(FALSE))</f>
        <v>1.0000000000000002E-2</v>
      </c>
      <c r="N396" s="846">
        <f>VLOOKUP($I$392,$B$322:$H$355,7,(FALSE))</f>
        <v>0.05</v>
      </c>
      <c r="O396" s="526"/>
      <c r="P396" s="529"/>
      <c r="Q396" s="1562" t="s">
        <v>563</v>
      </c>
      <c r="R396" s="1563"/>
      <c r="S396" s="1563"/>
      <c r="T396" s="1563"/>
      <c r="U396" s="1563"/>
      <c r="V396" s="1563"/>
      <c r="W396" s="1563"/>
      <c r="X396" s="1564"/>
    </row>
    <row r="397" spans="1:24" x14ac:dyDescent="0.2">
      <c r="A397" s="455">
        <f>VLOOKUP(A392,B177:H210,2)</f>
        <v>50</v>
      </c>
      <c r="B397" s="670">
        <f>VLOOKUP(A392,B177:H210,3,FALSE)</f>
        <v>-0.53999999999999915</v>
      </c>
      <c r="C397" s="670">
        <f>VLOOKUP($A$392,$B$177:$H$210,4,FALSE)</f>
        <v>-0.05</v>
      </c>
      <c r="D397" s="670" t="str">
        <f>VLOOKUP($A$392,$B$177:$H$210,5,FALSE)</f>
        <v>-</v>
      </c>
      <c r="E397" s="670">
        <f>VLOOKUP($A$392,B177:H210,6,FALSE)</f>
        <v>0.24499999999999958</v>
      </c>
      <c r="F397" s="670">
        <f>VLOOKUP($A$392,B177:H210,7,FALSE)</f>
        <v>0.57999999999999996</v>
      </c>
      <c r="G397" s="526"/>
      <c r="I397" s="4">
        <f>VLOOKUP(I392,B357:H390,2,(FALSE))</f>
        <v>10</v>
      </c>
      <c r="J397" s="846">
        <f>VLOOKUP(I392,B357:H390,3,(FALSE))</f>
        <v>-7.0000000000000007E-2</v>
      </c>
      <c r="K397" s="846">
        <f>VLOOKUP($I$392,$B$357:$H$390,4,(FALSE))</f>
        <v>-0.08</v>
      </c>
      <c r="L397" s="846" t="str">
        <f>VLOOKUP($I$392,$B$357:$H$390,5,(FALSE))</f>
        <v>-</v>
      </c>
      <c r="M397" s="846">
        <f>VLOOKUP($I$392,$B$357:$H$390,6,(FALSE))</f>
        <v>4.9999999999999975E-3</v>
      </c>
      <c r="N397" s="846">
        <f>VLOOKUP($I$392,$B$357:$H$390,7,(FALSE))</f>
        <v>0.05</v>
      </c>
      <c r="O397" s="525"/>
      <c r="P397" s="529"/>
      <c r="Q397" s="1565"/>
      <c r="R397" s="1566"/>
      <c r="S397" s="1566"/>
      <c r="T397" s="1566"/>
      <c r="U397" s="1566"/>
      <c r="V397" s="1566"/>
      <c r="W397" s="1566"/>
      <c r="X397" s="1567"/>
    </row>
    <row r="398" spans="1:24" x14ac:dyDescent="0.2">
      <c r="A398" s="455">
        <f>VLOOKUP(A392,B212:H245,2)</f>
        <v>100</v>
      </c>
      <c r="B398" s="670">
        <f>VLOOKUP(A392,B212:H245,3,FALSE)</f>
        <v>-0.59000000000000341</v>
      </c>
      <c r="C398" s="670">
        <f>VLOOKUP($A$392,$B$212:$H$245,4,FALSE)</f>
        <v>-0.04</v>
      </c>
      <c r="D398" s="670" t="str">
        <f>VLOOKUP($A$392,$B$212:$H$245,5,FALSE)</f>
        <v>-</v>
      </c>
      <c r="E398" s="670">
        <f>VLOOKUP($A$392,B212:H245,6,FALSE)</f>
        <v>0.27500000000000169</v>
      </c>
      <c r="F398" s="670">
        <f>VLOOKUP($A$392,B212:H245,7,FALSE)</f>
        <v>0.57999999999999996</v>
      </c>
      <c r="G398" s="526"/>
      <c r="I398" s="4">
        <f>VLOOKUP(I392,L287:P320,2,(FALSE))</f>
        <v>15</v>
      </c>
      <c r="J398" s="846">
        <f>VLOOKUP(I392,L287:R320,3,(FALSE))</f>
        <v>-0.09</v>
      </c>
      <c r="K398" s="846">
        <f>VLOOKUP($I$392,$L$287:$R$320,4,(FALSE))</f>
        <v>-0.12</v>
      </c>
      <c r="L398" s="846" t="str">
        <f>VLOOKUP($I$392,$L$287:$R$320,5,(FALSE))</f>
        <v>-</v>
      </c>
      <c r="M398" s="846">
        <f>VLOOKUP($I$392,$L$287:$R$320,6,(FALSE))</f>
        <v>1.4999999999999999E-2</v>
      </c>
      <c r="N398" s="846">
        <f>VLOOKUP($I$392,$L$287:$R$320,7,(FALSE))</f>
        <v>0.05</v>
      </c>
      <c r="O398" s="525"/>
      <c r="P398" s="529"/>
      <c r="Q398" s="1568"/>
      <c r="R398" s="1569"/>
      <c r="S398" s="1569"/>
      <c r="T398" s="1569"/>
      <c r="U398" s="1569"/>
      <c r="V398" s="1569"/>
      <c r="W398" s="1569"/>
      <c r="X398" s="1570"/>
    </row>
    <row r="399" spans="1:24" x14ac:dyDescent="0.2">
      <c r="A399" s="455">
        <f>VLOOKUP(A392,B247:H280,2)</f>
        <v>150</v>
      </c>
      <c r="B399" s="670">
        <f>VLOOKUP(A392,B247:H280,3,FALSE)</f>
        <v>-0.62999999999999545</v>
      </c>
      <c r="C399" s="670">
        <f>VLOOKUP($A$392,$B$247:$H$280,4,FALSE)</f>
        <v>-0.02</v>
      </c>
      <c r="D399" s="670" t="str">
        <f>VLOOKUP($A$392,$B$247:$H$280,5,FALSE)</f>
        <v>-</v>
      </c>
      <c r="E399" s="670">
        <f>VLOOKUP($A$392,B247:H280,6,FALSE)</f>
        <v>0.30499999999999772</v>
      </c>
      <c r="F399" s="670">
        <f>VLOOKUP($A$392,B247:H280,7,FALSE)</f>
        <v>0.57999999999999996</v>
      </c>
      <c r="G399" s="526"/>
      <c r="I399" s="4">
        <f>VLOOKUP(I392,L322:P355,2,(FALSE))</f>
        <v>20</v>
      </c>
      <c r="J399" s="846">
        <f>VLOOKUP(I392,L322:R355,3,(FALSE))</f>
        <v>-0.11</v>
      </c>
      <c r="K399" s="846">
        <f>VLOOKUP($I$392,$L$322:$R$355,4,(FALSE))</f>
        <v>-0.14000000000000001</v>
      </c>
      <c r="L399" s="846" t="str">
        <f>VLOOKUP($I$392,$L$322:$R$355,5,(FALSE))</f>
        <v>-</v>
      </c>
      <c r="M399" s="846">
        <f>VLOOKUP($I$392,$L$322:$R$355,6,(FALSE))</f>
        <v>1.5000000000000006E-2</v>
      </c>
      <c r="N399" s="846">
        <f>VLOOKUP($I$392,$L$322:$R$355,7,(FALSE))</f>
        <v>0.05</v>
      </c>
      <c r="O399" s="525"/>
      <c r="P399" s="529"/>
      <c r="Q399" s="948"/>
      <c r="R399" s="948">
        <f>IF(Q400&lt;=A396,A395,IF(Q400&lt;=A397,A396,IF(Q400&lt;=A398,A397,IF(Q400&lt;=A399,A398,IF(Q400&lt;=A400,A399,IF(Q400&lt;=A401,A400,IF(Q400&lt;=A402,A401,IF(Q400&lt;=A403,A402,IF(Q400&lt;=A404,A403)))))))))</f>
        <v>0</v>
      </c>
      <c r="S399" s="948"/>
      <c r="T399" s="948">
        <f>IF(Q400&lt;=A396,F395,IF(Q400&lt;=A397,F396,IF(Q400&lt;=A398,F397,IF(Q400&lt;=A399,F398,IF(Q400&lt;=A400,F399,IF(Q400&lt;=A401,F400,IF(Q400&lt;=A402,F401,IF(Q400&lt;=A403,F402,IF(Q400&lt;=A404,F403)))))))))</f>
        <v>0.57999999999999996</v>
      </c>
      <c r="U399" s="948"/>
      <c r="V399" s="948">
        <f>IF(U400&lt;=A396,A395,IF(U400&lt;=A397,A396,IF(U400&lt;=A398,A397,IF(U400&lt;=A399,A398,IF(U400&lt;=A400,A399,IF(U400&lt;=A401,A400,IF(U400&lt;=A402,A401,IF(U400&lt;=A403,A402,IF(U400&lt;=A404,A403)))))))))</f>
        <v>50</v>
      </c>
      <c r="W399" s="453"/>
      <c r="X399" s="453">
        <f>IF(U400&lt;=A396,F395,IF(U400&lt;=A397,F396,IF(U400&lt;=A398,F397,IF(U400&lt;=A399,F398,IF(U400&lt;=A400,F399,IF(U400&lt;=A401,F400,IF(U400&lt;=A402,F401,IF(U400&lt;=A403,F402,IF(U400&lt;=A404,F403)))))))))</f>
        <v>0.57999999999999996</v>
      </c>
    </row>
    <row r="400" spans="1:24" x14ac:dyDescent="0.2">
      <c r="A400" s="455">
        <f>VLOOKUP(A392,L107:R140,2)</f>
        <v>200</v>
      </c>
      <c r="B400" s="670">
        <f>VLOOKUP(A392,L107:R140,3,FALSE)</f>
        <v>-0.68000000000000682</v>
      </c>
      <c r="C400" s="670">
        <f>VLOOKUP($A$392,$L$107:$R$140,4,FALSE)</f>
        <v>-0.01</v>
      </c>
      <c r="D400" s="670" t="str">
        <f>VLOOKUP($A$392,$L$107:$R$140,5,FALSE)</f>
        <v>-</v>
      </c>
      <c r="E400" s="670">
        <f>VLOOKUP($A$392,L107:R140,6,FALSE)</f>
        <v>0.33500000000000341</v>
      </c>
      <c r="F400" s="670">
        <f>VLOOKUP($A$392,L107:R140,7,FALSE)</f>
        <v>0.57999999999999996</v>
      </c>
      <c r="G400" s="526"/>
      <c r="I400" s="4">
        <f>VLOOKUP(I392,L357:P390,2,(FALSE))</f>
        <v>25</v>
      </c>
      <c r="J400" s="846">
        <f>VLOOKUP(I392,L357:R390,3,(FALSE))</f>
        <v>-0.1</v>
      </c>
      <c r="K400" s="846">
        <f>VLOOKUP($I$392,$L$357:$R$390,4,(FALSE))</f>
        <v>-0.16</v>
      </c>
      <c r="L400" s="846" t="str">
        <f>VLOOKUP($I$392,$L$357:$R$390,5,(FALSE))</f>
        <v>-</v>
      </c>
      <c r="M400" s="846">
        <f>VLOOKUP($I$392,$L$357:$R$390,6,(FALSE))</f>
        <v>0.03</v>
      </c>
      <c r="N400" s="846">
        <f>VLOOKUP($I$392,$L$357:$R$390,7,(FALSE))</f>
        <v>0.05</v>
      </c>
      <c r="O400" s="525"/>
      <c r="P400" s="529"/>
      <c r="Q400" s="949">
        <f>C416</f>
        <v>9.6265400000000003</v>
      </c>
      <c r="R400" s="948"/>
      <c r="S400" s="950">
        <f>((Q400-R399)/(R401-R399)*(T401-T399)+T399)</f>
        <v>0.57999999999999996</v>
      </c>
      <c r="T400" s="948"/>
      <c r="U400" s="949">
        <f>C418</f>
        <v>99.483274666666659</v>
      </c>
      <c r="V400" s="948"/>
      <c r="W400" s="520">
        <f>((U400-V399)/(V401-V399)*(X401-X399)+X399)</f>
        <v>0.57999999999999996</v>
      </c>
      <c r="X400" s="453"/>
    </row>
    <row r="401" spans="1:24" x14ac:dyDescent="0.2">
      <c r="A401" s="455">
        <f>VLOOKUP(A392,L142:R175,2)</f>
        <v>250</v>
      </c>
      <c r="B401" s="670">
        <f>VLOOKUP(A392,L142:R175,3,FALSE)</f>
        <v>-0.71999999999999886</v>
      </c>
      <c r="C401" s="670">
        <f>VLOOKUP($A$392,$L$142:$R$175,4,FALSE)</f>
        <v>0.03</v>
      </c>
      <c r="D401" s="670" t="str">
        <f>VLOOKUP($A$392,$L$142:$R$175,5,FALSE)</f>
        <v>-</v>
      </c>
      <c r="E401" s="670">
        <f>VLOOKUP($A$392,L142:R175,6,FALSE)</f>
        <v>0.37499999999999944</v>
      </c>
      <c r="F401" s="670">
        <f>VLOOKUP($A$392,L142:R175,7,FALSE)</f>
        <v>0.57999999999999996</v>
      </c>
      <c r="G401" s="526"/>
      <c r="K401" s="456"/>
      <c r="L401" s="525"/>
      <c r="M401" s="525"/>
      <c r="N401" s="525"/>
      <c r="O401" s="529"/>
      <c r="P401" s="529"/>
      <c r="Q401" s="948"/>
      <c r="R401" s="948">
        <f>IF(Q400&lt;=A396,A396,IF(Q400&lt;=A397,A397,IF(Q400&lt;=A398,A398,IF(Q400&lt;=A399,A399,IF(Q400&lt;=A400,A400,IF(Q400&lt;=A401,A401,IF(Q400&lt;=A402,A402,IF(Q400&lt;=A403,A403,IF(Q400&lt;=A404,A404)))))))))</f>
        <v>10</v>
      </c>
      <c r="S401" s="948"/>
      <c r="T401" s="948">
        <f>IF(Q400&lt;=A396,F396,IF(Q400&lt;=A397,F397,IF(Q400&lt;=A398,F398,IF(Q400&lt;=A399,F399,IF(Q400&lt;=A400,F400,IF(Q400&lt;=A401,F401,IF(Q400&lt;=A402,F402,IF(Q400&lt;=A403,F403,IF(Q400&lt;=A404,F404)))))))))</f>
        <v>0.57999999999999996</v>
      </c>
      <c r="U401" s="948"/>
      <c r="V401" s="948">
        <f>IF(U400&lt;=A396,A396,IF(U400&lt;=A397,A397,IF(U400&lt;=A398,A398,IF(U400&lt;=A399,A399,IF(U400&lt;=A400,A400,IF(U400&lt;=A401,A401,IF(U400&lt;=A402,A402,IF(U400&lt;=A403,A403,IF(U400&lt;=A404,A404)))))))))</f>
        <v>100</v>
      </c>
      <c r="W401" s="453"/>
      <c r="X401" s="453">
        <f>IF(U400&lt;=A396,F396,IF(U400&lt;=A397,F397,IF(U400&lt;=A398,F398,IF(U400&lt;=A399,F399,IF(U400&lt;=A400,F400,IF(U400&lt;=A401,F401,IF(U400&lt;=A402,F402,IF(U400&lt;=A403,F403,IF(U400&lt;=A404,F404)))))))))</f>
        <v>0.57999999999999996</v>
      </c>
    </row>
    <row r="402" spans="1:24" x14ac:dyDescent="0.2">
      <c r="A402" s="455">
        <f>VLOOKUP(A392,L177:R210,2)</f>
        <v>300</v>
      </c>
      <c r="B402" s="670">
        <f>VLOOKUP(A392,L177:R210,3,FALSE)</f>
        <v>-0.76999999999998181</v>
      </c>
      <c r="C402" s="670">
        <f>VLOOKUP($A$392,$L$177:$R$210,4,FALSE)</f>
        <v>0.06</v>
      </c>
      <c r="D402" s="670" t="str">
        <f>VLOOKUP($A$392,$L$177:$R$210,5,FALSE)</f>
        <v>-</v>
      </c>
      <c r="E402" s="670">
        <f>VLOOKUP($A$392,L177:R210,6,FALSE)</f>
        <v>0.41499999999999093</v>
      </c>
      <c r="F402" s="670">
        <f>VLOOKUP($A$392,L177:R210,7,FALSE)</f>
        <v>0.57999999999999996</v>
      </c>
      <c r="G402" s="526"/>
      <c r="K402" s="456"/>
      <c r="L402" s="525"/>
      <c r="M402" s="525"/>
      <c r="N402" s="525"/>
      <c r="O402" s="529"/>
      <c r="P402" s="529"/>
      <c r="Q402" s="948"/>
      <c r="R402" s="948">
        <f>IF(Q403&lt;=A396,A395,IF(Q403&lt;=A397,A396,IF(Q403&lt;=A398,A397,IF(Q403&lt;=A399,A398,IF(Q403&lt;=A400,A399,IF(Q403&lt;=A401,A400,IF(Q403&lt;=A402,A401,IF(Q403&lt;=A403,A402,IF(Q403&lt;=A404,A403)))))))))</f>
        <v>10</v>
      </c>
      <c r="S402" s="948"/>
      <c r="T402" s="948">
        <f>IF(Q403&lt;=A396,F395,IF(Q403&lt;=A397,F396,IF(Q403&lt;=A398,F397,IF(Q403&lt;=A399,F398,IF(Q403&lt;=A400,F399,IF(Q403&lt;=A401,F400,IF(Q403&lt;=A402,F401,IF(Q403&lt;=A403,F402,IF(Q403&lt;=A404,F403)))))))))</f>
        <v>0.57999999999999996</v>
      </c>
      <c r="U402" s="948"/>
      <c r="V402" s="948">
        <f>IF(U403&lt;=A396,A395,IF(U403&lt;=A397,A396,IF(U403&lt;=A398,A397,IF(U403&lt;=A399,A398,IF(U403&lt;=A400,A399,IF(U403&lt;=A401,A400,IF(U403&lt;=A402,A401,IF(U403&lt;=A403,A402,IF(U403&lt;=A404,A403)))))))))</f>
        <v>300</v>
      </c>
      <c r="W402" s="453"/>
      <c r="X402" s="453">
        <f>IF(U403&lt;=A396,F395,IF(U403&lt;=A397,F396,IF(U403&lt;=A398,F397,IF(U403&lt;=A399,F398,IF(U403&lt;=A400,F399,IF(U403&lt;=A401,F400,IF(U403&lt;=A402,F401,IF(U403&lt;=A403,F402,IF(U403&lt;=A404,F403)))))))))</f>
        <v>0.57999999999999996</v>
      </c>
    </row>
    <row r="403" spans="1:24" x14ac:dyDescent="0.2">
      <c r="A403" s="455">
        <f>VLOOKUP(A392,L212:R245,2)</f>
        <v>500</v>
      </c>
      <c r="B403" s="670">
        <f>VLOOKUP(A392,L212:R245,3,FALSE)</f>
        <v>-0.94999999999998863</v>
      </c>
      <c r="C403" s="670">
        <f>VLOOKUP($A$392,$L$212:$R$245,4,FALSE)</f>
        <v>0.19</v>
      </c>
      <c r="D403" s="670" t="str">
        <f>VLOOKUP($A$392,$L$212:$R$245,5,FALSE)</f>
        <v>-</v>
      </c>
      <c r="E403" s="670">
        <f>VLOOKUP($A$392,L212:R245,6,FALSE)</f>
        <v>0.56999999999999429</v>
      </c>
      <c r="F403" s="670">
        <f>VLOOKUP($A$392,L212:R245,7,FALSE)</f>
        <v>0.57999999999999996</v>
      </c>
      <c r="G403" s="526"/>
      <c r="K403" s="456"/>
      <c r="L403" s="525"/>
      <c r="M403" s="525"/>
      <c r="N403" s="525"/>
      <c r="O403" s="529"/>
      <c r="P403" s="529"/>
      <c r="Q403" s="949">
        <f>C417</f>
        <v>49.686439999999997</v>
      </c>
      <c r="R403" s="948"/>
      <c r="S403" s="950">
        <f>((Q403-R402)/(R404-R402)*(T404-T402)+T402)</f>
        <v>0.57999999999999996</v>
      </c>
      <c r="T403" s="948"/>
      <c r="U403" s="949">
        <f>C419</f>
        <v>499.34973000000002</v>
      </c>
      <c r="V403" s="948"/>
      <c r="W403" s="520">
        <f>((U403-V402)/(V404-V402)*(X404-X402)+X402)</f>
        <v>0.57999999999999996</v>
      </c>
      <c r="X403" s="453"/>
    </row>
    <row r="404" spans="1:24" x14ac:dyDescent="0.2">
      <c r="A404" s="455">
        <f>VLOOKUP(A392,L247:R280,2)</f>
        <v>600</v>
      </c>
      <c r="B404" s="670">
        <f>VLOOKUP(A392,L247:R280,3,FALSE)</f>
        <v>-1.0399999999999636</v>
      </c>
      <c r="C404" s="670">
        <f>VLOOKUP($A$392,$L$247:$R$280,4,FALSE)</f>
        <v>9.9999999999999995E-7</v>
      </c>
      <c r="D404" s="670" t="str">
        <f>VLOOKUP($A$392,$L$247:$R$280,5,FALSE)</f>
        <v>-</v>
      </c>
      <c r="E404" s="670">
        <f>VLOOKUP($A$392,L247:R280,6,FALSE)</f>
        <v>0.52000049999998177</v>
      </c>
      <c r="F404" s="670">
        <f>VLOOKUP($A$392,L247:R280,7,FALSE)</f>
        <v>0.57999999999999996</v>
      </c>
      <c r="G404" s="526"/>
      <c r="K404" s="456"/>
      <c r="L404" s="525"/>
      <c r="M404" s="525"/>
      <c r="N404" s="525"/>
      <c r="O404" s="529"/>
      <c r="P404" s="529"/>
      <c r="Q404" s="948"/>
      <c r="R404" s="948">
        <f>IF(Q403&lt;=A396,A396,IF(Q403&lt;=A397,A397,IF(Q403&lt;=A398,A398,IF(Q403&lt;=A399,A399,IF(Q403&lt;=A400,A400,IF(Q403&lt;=A401,A401,IF(Q403&lt;=A402,A402,IF(Q403&lt;=A403,A403,IF(Q403&lt;=A404,A404)))))))))</f>
        <v>50</v>
      </c>
      <c r="S404" s="948"/>
      <c r="T404" s="948">
        <f>IF(Q403&lt;=A396,F396,IF(Q403&lt;=A397,F397,IF(Q403&lt;=A398,F398,IF(Q403&lt;=A399,F399,IF(Q403&lt;=A400,F400,IF(Q403&lt;=A401,F401,IF(Q403&lt;=A402,F402,IF(Q403&lt;=A403,F403,IF(Q403&lt;=A404,F404)))))))))</f>
        <v>0.57999999999999996</v>
      </c>
      <c r="U404" s="948"/>
      <c r="V404" s="948">
        <f>IF(U403&lt;=A396,A396,IF(U403&lt;=A397,A397,IF(U403&lt;=A398,A398,IF(U403&lt;=A399,A399,IF(U403&lt;=A400,A400,IF(U403&lt;=A401,A401,IF(U403&lt;=A402,A402,IF(U403&lt;=A403,A403,IF(U403&lt;=A404,A404)))))))))</f>
        <v>500</v>
      </c>
      <c r="W404" s="453"/>
      <c r="X404" s="453">
        <f>IF(U403&lt;=A396,F396,IF(U403&lt;=A397,F397,IF(U403&lt;=A398,F398,IF(U403&lt;=A399,F399,IF(U403&lt;=A400,F400,IF(U403&lt;=A401,F401,IF(U403&lt;=A402,F402,IF(U403&lt;=A403,F403,IF(U403&lt;=A404,F404)))))))))</f>
        <v>0.57999999999999996</v>
      </c>
    </row>
    <row r="405" spans="1:24" x14ac:dyDescent="0.2">
      <c r="A405" s="462"/>
      <c r="B405" s="458"/>
      <c r="C405" s="458"/>
      <c r="D405" s="458"/>
      <c r="E405" s="458"/>
      <c r="F405" s="526"/>
      <c r="G405" s="456"/>
      <c r="H405" s="456"/>
      <c r="I405" s="456"/>
      <c r="J405" s="456"/>
      <c r="K405" s="456"/>
      <c r="L405" s="525"/>
      <c r="M405" s="525"/>
      <c r="N405" s="525"/>
      <c r="O405" s="529"/>
      <c r="P405" s="529"/>
      <c r="Q405" s="529"/>
    </row>
    <row r="406" spans="1:24" ht="25.5" x14ac:dyDescent="0.2">
      <c r="A406" s="538" t="s">
        <v>427</v>
      </c>
      <c r="B406" s="532" t="s">
        <v>428</v>
      </c>
      <c r="C406" s="532" t="s">
        <v>429</v>
      </c>
      <c r="D406" s="601" t="s">
        <v>284</v>
      </c>
      <c r="E406" s="654" t="s">
        <v>430</v>
      </c>
      <c r="F406" s="847"/>
      <c r="G406" s="537"/>
      <c r="H406" s="1558" t="s">
        <v>561</v>
      </c>
      <c r="I406" s="1558"/>
      <c r="J406" s="1558"/>
      <c r="K406" s="1558"/>
      <c r="L406" s="1558"/>
      <c r="M406" s="1558"/>
      <c r="N406" s="1558"/>
      <c r="O406" s="1558"/>
      <c r="Q406" s="1559" t="s">
        <v>562</v>
      </c>
      <c r="R406" s="1560"/>
      <c r="S406" s="1560"/>
      <c r="T406" s="1560"/>
      <c r="U406" s="1560"/>
      <c r="V406" s="1560"/>
      <c r="W406" s="1560"/>
      <c r="X406" s="1561"/>
    </row>
    <row r="407" spans="1:24" x14ac:dyDescent="0.2">
      <c r="A407" s="749">
        <f>A416</f>
        <v>10</v>
      </c>
      <c r="B407" s="671">
        <f>_xlfn.FORECAST.LINEAR(B416,B395:B404,A395:A404)</f>
        <v>-0.39521145220828363</v>
      </c>
      <c r="C407" s="671">
        <f>_xlfn.FORECAST.LINEAR(C416,E395:E404,A395:A404)</f>
        <v>0.1781670404149521</v>
      </c>
      <c r="D407" s="671">
        <f>_xlfn.FORECAST.LINEAR(C416,F395:F404,A395:A404)</f>
        <v>0.57999999999999996</v>
      </c>
      <c r="E407" s="672">
        <f>1/3*S400</f>
        <v>0.1933333333333333</v>
      </c>
      <c r="F407" s="755"/>
      <c r="G407" s="537"/>
      <c r="H407" s="946"/>
      <c r="I407" s="846">
        <f>IF(H408&lt;=A396,A395,IF(H408&lt;=A397,A396,IF(H408&lt;=A398,A397,IF(H408&lt;=A399,A398,IF(H408&lt;=A400,A399,IF(H408&lt;=A401,A400,IF(H408&lt;=A402,A401,IF(H408&lt;=A403,A402,IF(H408&lt;=A404,A403)))))))))</f>
        <v>10</v>
      </c>
      <c r="J407" s="946"/>
      <c r="K407" s="846">
        <f>IF(H408&lt;=A396,B395,IF(H408&lt;=A397,B396,IF(H408&lt;=A398,B397,IF(H408&lt;=A399,B398,IF(H408&lt;=A400,B399,IF(H408&lt;=A401,B400,IF(H408&lt;=A402,B401,IF(H408&lt;=A403,B402,IF(H408&lt;=A404,B403)))))))))</f>
        <v>-0.5</v>
      </c>
      <c r="L407" s="947"/>
      <c r="M407" s="947">
        <f>IF(L408&lt;=A396,A395,IF(L408&lt;=A397,A396,IF(L408&lt;=A398,A397,IF(L408&lt;=A399,A398,IF(L408&lt;=A400,A399,IF(L408&lt;=A401,A400,IF(L408&lt;=A402,A401,IF(L408&lt;=A403,A402,IF(L408&lt;=A404,A403)))))))))</f>
        <v>100</v>
      </c>
      <c r="N407" s="947"/>
      <c r="O407" s="948">
        <f>IF(L408&lt;=A396,B395,IF(L408&lt;=A397,B396,IF(L408&lt;=A398,B397,IF(L408&lt;=A399,B398,IF(L408&lt;=A400,B399,IF(L408&lt;=A401,B400,IF(L408&lt;=A402,B401,IF(L408&lt;=A403,B402,IF(L408&lt;=A404,B403)))))))))</f>
        <v>-0.59000000000000341</v>
      </c>
      <c r="Q407" s="959"/>
      <c r="R407" s="965">
        <f>IF(Q408&lt;=A396,A395,IF(Q408&lt;=A397,A396,IF(Q408&lt;=A398,A397,IF(Q408&lt;=A399,A398,IF(Q408&lt;=A400,A399,IF(Q408&lt;=A401,A400,IF(Q408&lt;=A402,A401,IF(Q408&lt;=A403,A402,IF(Q408&lt;=A404,A403)))))))))</f>
        <v>0</v>
      </c>
      <c r="S407" s="959"/>
      <c r="T407" s="964">
        <f>IF(Q408&lt;=A396,E395,IF(Q408&lt;=A397,E396,IF(Q408&lt;=A398,E397,IF(Q408&lt;=A399,E398,IF(Q408&lt;=A400,E399,IF(Q408&lt;=A401,E400,IF(Q408&lt;=A402,E401,IF(Q408&lt;=A403,E402,IF(Q408&lt;=A404,E403)))))))))</f>
        <v>9.9999999999999995E-7</v>
      </c>
      <c r="U407" s="959"/>
      <c r="V407" s="959">
        <f>IF(U408&lt;=A396,A395,IF(U408&lt;=A397,A396,IF(U408&lt;=A398,A397,IF(U408&lt;=A399,A398,IF(U408&lt;=A400,A399,IF(U408&lt;=A401,A400,IF(U408&lt;=A402,A401,IF(U408&lt;=A403,A402,IF(U408&lt;=A404,A403)))))))))</f>
        <v>50</v>
      </c>
      <c r="W407" s="960"/>
      <c r="X407" s="959">
        <f>IF(U408&lt;=A396,E395,IF(U408&lt;=A397,E396,IF(U408&lt;=A398,E397,IF(U408&lt;=A399,E398,IF(U408&lt;=A400,E399,IF(U408&lt;=A401,E400,IF(U408&lt;=A402,E401,IF(U408&lt;=A403,E402,IF(U408&lt;=A404,E403)))))))))</f>
        <v>0.24499999999999958</v>
      </c>
    </row>
    <row r="408" spans="1:24" x14ac:dyDescent="0.2">
      <c r="A408" s="749">
        <f>A417</f>
        <v>50</v>
      </c>
      <c r="B408" s="671">
        <f t="shared" ref="B408:B410" si="613">_xlfn.FORECAST.LINEAR(B417,B396:B405,A396:A405)</f>
        <v>-0.54050404761905102</v>
      </c>
      <c r="C408" s="671">
        <f>_xlfn.FORECAST.LINEAR(C417,E395:E404,A395:A404)</f>
        <v>0.206863460907519</v>
      </c>
      <c r="D408" s="671">
        <f>_xlfn.FORECAST.LINEAR(C417,F395:F404,A395:A404)</f>
        <v>0.57999999999999996</v>
      </c>
      <c r="E408" s="672">
        <f>1/3*S403</f>
        <v>0.1933333333333333</v>
      </c>
      <c r="F408" s="755"/>
      <c r="G408" s="537"/>
      <c r="H408" s="949">
        <f>B416</f>
        <v>10.126666666666667</v>
      </c>
      <c r="I408" s="946"/>
      <c r="J408" s="950">
        <f>((H408-I407)/(I409-I407)*(K409-K407)+K407)</f>
        <v>-0.50012666666666672</v>
      </c>
      <c r="K408" s="946"/>
      <c r="L408" s="951">
        <f>B418</f>
        <v>100.07333333333332</v>
      </c>
      <c r="M408" s="947"/>
      <c r="N408" s="952">
        <f>((L408-M407)/(M409-M407)*(O409-O407)+O407)</f>
        <v>-0.59005866666667006</v>
      </c>
      <c r="O408" s="953"/>
      <c r="Q408" s="961">
        <f>C416</f>
        <v>9.6265400000000003</v>
      </c>
      <c r="R408" s="959"/>
      <c r="S408" s="962">
        <f>((Q408-R407)/(R409-R407)*(T409-T407)+T407)</f>
        <v>0.21178391734599999</v>
      </c>
      <c r="T408" s="959"/>
      <c r="U408" s="961">
        <f>C418</f>
        <v>99.483274666666659</v>
      </c>
      <c r="V408" s="959"/>
      <c r="W408" s="962">
        <f>((U408-V407)/(V409-V407)*(X409-X407)+X407)</f>
        <v>0.27468996480000168</v>
      </c>
      <c r="X408" s="959"/>
    </row>
    <row r="409" spans="1:24" x14ac:dyDescent="0.2">
      <c r="A409" s="749">
        <f>A418</f>
        <v>100</v>
      </c>
      <c r="B409" s="671">
        <f t="shared" si="613"/>
        <v>-0.58703401203369665</v>
      </c>
      <c r="C409" s="671">
        <f>_xlfn.FORECAST.LINEAR(C418,E395:E404,A395:A404)</f>
        <v>0.24253481572351951</v>
      </c>
      <c r="D409" s="671">
        <f>_xlfn.FORECAST.LINEAR(C418,F395:F404,A395:A404)</f>
        <v>0.57999999999999996</v>
      </c>
      <c r="E409" s="672">
        <f>1/3*W400</f>
        <v>0.1933333333333333</v>
      </c>
      <c r="F409" s="755"/>
      <c r="G409" s="537"/>
      <c r="H409" s="946"/>
      <c r="I409" s="946">
        <f>IF(H408&lt;=A396,A396,IF(H408&lt;=A397,A397,IF(H408&lt;=A398,A398,IF(H408&lt;=A399,A399,IF(H408&lt;=A400,A400,IF(H408&lt;=A401,A401,IF(H408&lt;=A402,A402,IF(H408&lt;=A403,A403,IF(H408&lt;=A404,A404)))))))))</f>
        <v>50</v>
      </c>
      <c r="J409" s="946"/>
      <c r="K409" s="946">
        <f>IF(H408&lt;=A396,B396,IF(H408&lt;=A397,B397,IF(H408&lt;=A398,B398,IF(H408&lt;=A399,B399,IF(H408&lt;=A400,B400,IF(H408&lt;=A401,B401,IF(H408&lt;=A402,B402,IF(H408&lt;=A403,B403,IF(H408&lt;=A404,B404)))))))))</f>
        <v>-0.53999999999999915</v>
      </c>
      <c r="L409" s="947"/>
      <c r="M409" s="947">
        <f>IF(L408&lt;=A396,A396,IF(L408&lt;=A397,A397,IF(L408&lt;=A398,A398,IF(L408&lt;=A399,A399,IF(L408&lt;=A400,A400,IF(L408&lt;=A401,A401,IF(L408&lt;=A402,A402,IF(L408&lt;=A403,A403,IF(L408&lt;=A404,A404)))))))))</f>
        <v>150</v>
      </c>
      <c r="N409" s="947"/>
      <c r="O409" s="948">
        <f>IF(L408&lt;=A396,B396,IF(L408&lt;=A397,B397,IF(L408&lt;=A398,B398,IF(L408&lt;=A399,B399,IF(L408&lt;=A400,B400,IF(L408&lt;=A401,B401,IF(L408&lt;=A402,B402,IF(L408&lt;=A403,B403,IF(L408&lt;=A404,B404)))))))))</f>
        <v>-0.62999999999999545</v>
      </c>
      <c r="Q409" s="959"/>
      <c r="R409" s="959">
        <f>IF(Q408&lt;=A396,A396,IF(Q408&lt;=A397,A397,IF(Q408&lt;=A398,A398,IF(Q408&lt;=A399,A399,IF(Q408&lt;=A400,A400,IF(Q408&lt;=A401,A401,IF(Q408&lt;=A402,A402,IF(Q408&lt;=A403,A403,IF(Q408&lt;=A404,A404)))))))))</f>
        <v>10</v>
      </c>
      <c r="S409" s="959"/>
      <c r="T409" s="959">
        <f>IF(Q408&lt;=A396,E396,IF(Q408&lt;=A397,E397,IF(Q408&lt;=A398,E398,IF(Q408&lt;=A399,E399,IF(Q408&lt;=A400,E400,IF(Q408&lt;=A401,E401,IF(Q408&lt;=A402,E402,IF(Q408&lt;=A403,E403,IF(Q408&lt;=A404,E404)))))))))</f>
        <v>0.22</v>
      </c>
      <c r="U409" s="959"/>
      <c r="V409" s="959">
        <f>IF(U408&lt;=A396,A396,IF(U408&lt;=A397,A397,IF(U408&lt;=A398,A398,IF(U408&lt;=A399,A399,IF(U408&lt;=A400,A400,IF(U408&lt;=A401,A401,IF(U408&lt;=A402,A402,IF(U408&lt;=A403,A403,IF(U408&lt;=A404,A404)))))))))</f>
        <v>100</v>
      </c>
      <c r="W409" s="960"/>
      <c r="X409" s="959">
        <f>IF(U408&lt;=A396,E396,IF(U408&lt;=A397,E397,IF(U408&lt;=A398,E398,IF(U408&lt;=A399,E399,IF(U408&lt;=A400,E400,IF(U408&lt;=A401,E401,IF(U408&lt;=A402,E402,IF(U408&lt;=A403,E403,IF(U408&lt;=A404,E404)))))))))</f>
        <v>0.27500000000000169</v>
      </c>
    </row>
    <row r="410" spans="1:24" ht="15.75" x14ac:dyDescent="0.2">
      <c r="A410" s="749">
        <f>A419</f>
        <v>500</v>
      </c>
      <c r="B410" s="671">
        <f t="shared" si="613"/>
        <v>-0.95985465712374596</v>
      </c>
      <c r="C410" s="671">
        <f>_xlfn.FORECAST.LINEAR(C419,E395:E404,A395:A404)</f>
        <v>0.52897427121685714</v>
      </c>
      <c r="D410" s="671">
        <f>_xlfn.FORECAST.LINEAR(C419,F395:F404,A395:A404)</f>
        <v>0.57999999999999996</v>
      </c>
      <c r="E410" s="672">
        <f>1/3*W403</f>
        <v>0.1933333333333333</v>
      </c>
      <c r="F410" s="847"/>
      <c r="G410" s="537"/>
      <c r="H410" s="954"/>
      <c r="I410" s="946">
        <f>IF(H411&lt;=A396,A395,IF(H411&lt;=A397,A396,IF(H411&lt;=A398,A397,IF(H411&lt;=A399,A398,IF(H411&lt;=A400,A399,IF(H411&lt;=A401,A400,IF(H411&lt;=A402,A401,IF(H411&lt;=A403,A402,IF(H411&lt;=A404,A403)))))))))</f>
        <v>50</v>
      </c>
      <c r="J410" s="955"/>
      <c r="K410" s="954">
        <f>IF(H411&lt;=A396,B395,IF(H411&lt;=A397,B396,IF(H411&lt;=A398,B397,IF(H411&lt;=A399,B398,IF(H411&lt;=A400,B399,IF(H411&lt;=A401,B400,IF(H411&lt;=A402,B401,IF(H411&lt;=A403,B402,IF(H411&lt;=A404,B403)))))))))</f>
        <v>-0.53999999999999915</v>
      </c>
      <c r="L410" s="946"/>
      <c r="M410" s="946">
        <f>IF(L411&lt;=A396,A395,IF(L411&lt;=A397,A396,IF(L411&lt;=A398,A397,IF(L411&lt;=A399,A398,IF(L411&lt;=A400,A399,IF(L411&lt;=A401,A400,IF(L411&lt;=A402,A401,IF(L411&lt;=A403,A402,IF(L411&lt;=A404,A403)))))))))</f>
        <v>500</v>
      </c>
      <c r="N410" s="946"/>
      <c r="O410" s="948">
        <f>IF(L411&lt;=A396,B395,IF(L411&lt;=A397,B396,IF(L411&lt;=A398,B397,IF(L411&lt;=A399,B398,IF(L411&lt;=A400,B399,IF(L411&lt;=A401,B400,IF(L411&lt;=A402,B401,IF(L411&lt;=A403,B402,IF(L411&lt;=A404,B403)))))))))</f>
        <v>-0.94999999999998863</v>
      </c>
      <c r="Q410" s="959"/>
      <c r="R410" s="959">
        <f>IF(Q411&lt;=A396,A395,IF(Q411&lt;=A397,A396,IF(Q411&lt;=A398,A397,IF(Q411&lt;=A399,A398,IF(Q411&lt;=A400,A399,IF(Q411&lt;=A401,A400,IF(Q411&lt;=A402,A401,IF(Q411&lt;=A403,A402,IF(Q411&lt;=A404,A403)))))))))</f>
        <v>10</v>
      </c>
      <c r="S410" s="959"/>
      <c r="T410" s="959">
        <f>IF(Q411&lt;=A396,E395,IF(Q411&lt;=A397,E396,IF(Q411&lt;=A398,E397,IF(Q411&lt;=A399,E398,IF(Q411&lt;=A400,E399,IF(Q411&lt;=A401,E400,IF(Q411&lt;=A402,E401,IF(Q411&lt;=A403,E402,IF(Q411&lt;=A404,E403)))))))))</f>
        <v>0.22</v>
      </c>
      <c r="U410" s="959"/>
      <c r="V410" s="959">
        <f>IF(U411&lt;=A396,A395,IF(U411&lt;=A397,A396,IF(U411&lt;=A398,A397,IF(U411&lt;=A399,A398,IF(U411&lt;=A400,A399,IF(U411&lt;=A401,A400,IF(U411&lt;=A402,A401,IF(U411&lt;=A403,A402,IF(U411&lt;=A404,A403)))))))))</f>
        <v>300</v>
      </c>
      <c r="W410" s="960"/>
      <c r="X410" s="959">
        <f>IF(U411&lt;=A396,E395,IF(U411&lt;=A397,E396,IF(U411&lt;=A398,E397,IF(U411&lt;=A399,E398,IF(U411&lt;=A400,E399,IF(U411&lt;=A401,E400,IF(U411&lt;=A402,E401,IF(U411&lt;=A403,E402,IF(U411&lt;=A404,E403)))))))))</f>
        <v>0.41499999999999093</v>
      </c>
    </row>
    <row r="411" spans="1:24" x14ac:dyDescent="0.2">
      <c r="A411" s="529"/>
      <c r="B411" s="529"/>
      <c r="E411" s="525"/>
      <c r="F411" s="755"/>
      <c r="G411" s="848"/>
      <c r="H411" s="956">
        <f>B417</f>
        <v>50.226666666666667</v>
      </c>
      <c r="I411" s="957"/>
      <c r="J411" s="958">
        <f>((H411-I410)/(I412-I410)*(K412-K410)+K410)</f>
        <v>-0.54022666666666586</v>
      </c>
      <c r="K411" s="954"/>
      <c r="L411" s="951">
        <f>B419</f>
        <v>500.3</v>
      </c>
      <c r="M411" s="947"/>
      <c r="N411" s="952">
        <f>((L411-M410)/(M412-M410)*(O412-O410)+O410)</f>
        <v>-0.95026999999998851</v>
      </c>
      <c r="O411" s="953"/>
      <c r="Q411" s="961">
        <f>C417</f>
        <v>49.686439999999997</v>
      </c>
      <c r="R411" s="959"/>
      <c r="S411" s="962">
        <f>((Q411-R410)/(R412-R410)*(T412-T410)+T410)</f>
        <v>0.24480402499999959</v>
      </c>
      <c r="T411" s="959"/>
      <c r="U411" s="961">
        <f>C419</f>
        <v>499.34973000000002</v>
      </c>
      <c r="V411" s="959"/>
      <c r="W411" s="963">
        <f>((U411-V410)/(V412-V410)*(X412-X410)+X410)</f>
        <v>0.56949604074999427</v>
      </c>
      <c r="X411" s="960"/>
    </row>
    <row r="412" spans="1:24" ht="25.5" x14ac:dyDescent="0.2">
      <c r="A412" s="533"/>
      <c r="B412" s="532" t="s">
        <v>431</v>
      </c>
      <c r="C412" s="532" t="s">
        <v>429</v>
      </c>
      <c r="D412" s="601" t="s">
        <v>284</v>
      </c>
      <c r="E412" s="571" t="s">
        <v>430</v>
      </c>
      <c r="F412" s="755"/>
      <c r="G412" s="848"/>
      <c r="H412" s="957"/>
      <c r="I412" s="957">
        <f>IF(H411&lt;=A396,A396,IF(H411&lt;=A397,A397,IF(H411&lt;=A398,A398,IF(H411&lt;=A399,A399,IF(H411&lt;=A400,A400,IF(H411&lt;=A401,A401,IF(H411&lt;=A402,A402,IF(H411&lt;=A403,A403,IF(H411&lt;=A404,A404)))))))))</f>
        <v>100</v>
      </c>
      <c r="J412" s="955"/>
      <c r="K412" s="954">
        <f>IF(H411&lt;=A396,B396,IF(H411&lt;=A397,B397,IF(H411&lt;=A398,B398,IF(H411&lt;=A399,B399,IF(H411&lt;=A400,B400,IF(H411&lt;=A401,B401,IF(H411&lt;=A402,B402,IF(H411&lt;=A403,B403,IF(H411&lt;=A404,B404)))))))))</f>
        <v>-0.59000000000000341</v>
      </c>
      <c r="L412" s="947"/>
      <c r="M412" s="947">
        <f>IF(L411&lt;=A396,A396,IF(L411&lt;=A397,A397,IF(L411&lt;=A398,A398,IF(L411&lt;=A399,A399,IF(L411&lt;=A400,A400,IF(L411&lt;=A401,A401,IF(L411&lt;=A402,A402,IF(L411&lt;=A403,A403,IF(L411&lt;=A404,A404)))))))))</f>
        <v>600</v>
      </c>
      <c r="N412" s="947"/>
      <c r="O412" s="948">
        <f>IF(L411&lt;=A396,B396,IF(L411&lt;=A397,B397,IF(L411&lt;=A398,B398,IF(L411&lt;=A399,B399,IF(L411&lt;=A400,B400,IF(L411&lt;=A401,B401,IF(L411&lt;=A402,B402,IF(L411&lt;=A403,B403,IF(L411&lt;=A404,B404)))))))))</f>
        <v>-1.0399999999999636</v>
      </c>
      <c r="Q412" s="959"/>
      <c r="R412" s="959">
        <f>IF(Q411&lt;=A396,A396,IF(Q411&lt;=A397,A397,IF(Q411&lt;=A398,A398,IF(Q411&lt;=A399,A399,IF(Q411&lt;=A400,A400,IF(Q411&lt;=A401,A401,IF(Q411&lt;=A402,A402,IF(Q411&lt;=A403,A403,IF(Q411&lt;=A404,A404)))))))))</f>
        <v>50</v>
      </c>
      <c r="S412" s="959"/>
      <c r="T412" s="959">
        <f>IF(Q411&lt;=A396,E396,IF(Q411&lt;=A397,E397,IF(Q411&lt;=A398,E398,IF(Q411&lt;=A399,E399,IF(Q411&lt;=A400,E400,IF(Q411&lt;=A401,E401,IF(Q411&lt;=A402,E402,IF(Q411&lt;=A403,E403,IF(Q411&lt;=A404,E404)))))))))</f>
        <v>0.24499999999999958</v>
      </c>
      <c r="U412" s="959"/>
      <c r="V412" s="959">
        <f>IF(U411&lt;=A396,A396,IF(U411&lt;=A397,A397,IF(U411&lt;=A398,A398,IF(U411&lt;=A399,A399,IF(U411&lt;=A400,A400,IF(U411&lt;=A401,A401,IF(U411&lt;=A402,A402,IF(U411&lt;=A403,A403,IF(U411&lt;=A404,A404)))))))))</f>
        <v>500</v>
      </c>
      <c r="W412" s="960"/>
      <c r="X412" s="959">
        <f>IF(U411&lt;=A396,E396,IF(U411&lt;=A397,E397,IF(U411&lt;=A398,E398,IF(U411&lt;=A399,E399,IF(U411&lt;=A400,E400,IF(U411&lt;=A401,E401,IF(U411&lt;=A402,E402,IF(U411&lt;=A403,E403,IF(U411&lt;=A404,E404)))))))))</f>
        <v>0.56999999999999429</v>
      </c>
    </row>
    <row r="413" spans="1:24" x14ac:dyDescent="0.2">
      <c r="A413" s="533"/>
      <c r="B413" s="671">
        <f>_xlfn.FORECAST.LINEAR(B420,J395:J400,I395:I400)</f>
        <v>-5.5809285714285721E-2</v>
      </c>
      <c r="C413" s="671">
        <f>_xlfn.FORECAST.LINEAR(C420,M395:M400,I395:I400)</f>
        <v>9.9444304040748315E-3</v>
      </c>
      <c r="D413" s="671">
        <f>_xlfn.FORECAST.LINEAR(C420,N395:N400,I395:I400)</f>
        <v>4.9999999999999996E-2</v>
      </c>
      <c r="E413" s="846">
        <f>1/3*D413</f>
        <v>1.6666666666666663E-2</v>
      </c>
      <c r="F413" s="755"/>
      <c r="G413" s="848"/>
      <c r="H413" s="848"/>
      <c r="I413" s="848"/>
      <c r="J413" s="525"/>
      <c r="K413" s="755"/>
      <c r="L413" s="848"/>
      <c r="M413" s="848"/>
      <c r="N413" s="848"/>
    </row>
    <row r="414" spans="1:24" x14ac:dyDescent="0.2">
      <c r="A414" s="539"/>
      <c r="B414" s="525"/>
      <c r="C414" s="525"/>
      <c r="D414" s="525"/>
      <c r="E414" s="525"/>
      <c r="F414" s="525"/>
      <c r="G414" s="525"/>
      <c r="H414" s="525"/>
      <c r="I414" s="525"/>
      <c r="J414" s="525"/>
      <c r="K414" s="525"/>
      <c r="L414" s="525"/>
      <c r="M414" s="525"/>
      <c r="N414" s="525"/>
      <c r="O414" s="529"/>
      <c r="P414" s="529"/>
    </row>
    <row r="415" spans="1:24" ht="48.75" customHeight="1" x14ac:dyDescent="0.2">
      <c r="A415" s="849" t="s">
        <v>48</v>
      </c>
      <c r="B415" s="849" t="s">
        <v>312</v>
      </c>
      <c r="C415" s="849" t="s">
        <v>313</v>
      </c>
      <c r="D415" s="849" t="s">
        <v>314</v>
      </c>
      <c r="E415" s="849" t="s">
        <v>432</v>
      </c>
      <c r="F415" s="849" t="s">
        <v>433</v>
      </c>
      <c r="G415" s="850" t="s">
        <v>147</v>
      </c>
      <c r="H415" s="849" t="s">
        <v>434</v>
      </c>
      <c r="I415" s="849" t="s">
        <v>435</v>
      </c>
      <c r="J415" s="849" t="s">
        <v>436</v>
      </c>
      <c r="K415" s="754" t="s">
        <v>437</v>
      </c>
      <c r="L415" s="754" t="s">
        <v>438</v>
      </c>
      <c r="M415" s="540" t="s">
        <v>429</v>
      </c>
      <c r="N415" s="525"/>
      <c r="O415" s="1454" t="s">
        <v>439</v>
      </c>
      <c r="P415" s="1454"/>
      <c r="R415" s="453" t="s">
        <v>534</v>
      </c>
      <c r="S415" s="453" t="s">
        <v>535</v>
      </c>
      <c r="T415" s="453" t="s">
        <v>536</v>
      </c>
      <c r="U415" s="601" t="s">
        <v>537</v>
      </c>
    </row>
    <row r="416" spans="1:24" ht="14.25" x14ac:dyDescent="0.2">
      <c r="A416" s="463">
        <f>ID!D34</f>
        <v>10</v>
      </c>
      <c r="B416" s="694">
        <f>AVERAGE(ID!F34:K34)</f>
        <v>10.126666666666667</v>
      </c>
      <c r="C416" s="695">
        <f>B416+J408</f>
        <v>9.6265400000000003</v>
      </c>
      <c r="D416" s="695">
        <f>STDEV(ID!F34:K34)</f>
        <v>1.3662601021280042E-2</v>
      </c>
      <c r="E416" s="695">
        <f>A416-C416</f>
        <v>0.37345999999999968</v>
      </c>
      <c r="F416" s="695">
        <f>(E416/A416)*100</f>
        <v>3.7345999999999968</v>
      </c>
      <c r="G416" s="696">
        <f>C416-A416</f>
        <v>-0.37345999999999968</v>
      </c>
      <c r="H416" s="697">
        <f>ABS(G416)/A416*100</f>
        <v>3.7345999999999968</v>
      </c>
      <c r="I416" s="694">
        <f>(UB!J15/A416)*100</f>
        <v>6.2827094734666851</v>
      </c>
      <c r="J416" s="694">
        <f>H416+I416</f>
        <v>10.017309473466682</v>
      </c>
      <c r="K416" s="698">
        <f>S400</f>
        <v>0.57999999999999996</v>
      </c>
      <c r="L416" s="1455">
        <f>P416</f>
        <v>5.0000000000000001E-3</v>
      </c>
      <c r="M416" s="693">
        <f>IF(S408&gt;0.000001,S408,IF(S408&lt;=0.000001,$E$407))</f>
        <v>0.21178391734599999</v>
      </c>
      <c r="N416" s="525"/>
      <c r="O416" s="851">
        <v>1</v>
      </c>
      <c r="P416" s="655">
        <f>1/2*ID!E7</f>
        <v>5.0000000000000001E-3</v>
      </c>
      <c r="R416" s="575">
        <f>UB!J15</f>
        <v>0.62827094734666855</v>
      </c>
      <c r="S416" s="453">
        <f>MAX(R416:R419)</f>
        <v>0.87179430091330756</v>
      </c>
      <c r="T416" s="286" t="str">
        <f>IF(S416&gt;=10,"0",IF(S416&lt;1,"0.00","0.0"))</f>
        <v>0.00</v>
      </c>
      <c r="U416" s="891" t="str">
        <f>TEXT(R416,$T$416)</f>
        <v>0.63</v>
      </c>
    </row>
    <row r="417" spans="1:21" ht="14.25" x14ac:dyDescent="0.2">
      <c r="A417" s="463">
        <f>ID!D35</f>
        <v>50</v>
      </c>
      <c r="B417" s="694">
        <f>AVERAGE(ID!F35:K35)</f>
        <v>50.226666666666667</v>
      </c>
      <c r="C417" s="695">
        <f>B417+J411</f>
        <v>49.686439999999997</v>
      </c>
      <c r="D417" s="695">
        <f>STDEV(ID!F35:K35)</f>
        <v>1.3662601021279518E-2</v>
      </c>
      <c r="E417" s="695">
        <f>A417-C417</f>
        <v>0.3135600000000025</v>
      </c>
      <c r="F417" s="695">
        <f>(E417/A417)*100</f>
        <v>0.62712000000000501</v>
      </c>
      <c r="G417" s="696">
        <f>C417-A417</f>
        <v>-0.3135600000000025</v>
      </c>
      <c r="H417" s="697">
        <f t="shared" ref="H417:H419" si="614">ABS(G417)/A417*100</f>
        <v>0.62712000000000501</v>
      </c>
      <c r="I417" s="694">
        <f>(UB!J28/A417)*100</f>
        <v>1.2863058921474688</v>
      </c>
      <c r="J417" s="694">
        <f t="shared" ref="J417:J419" si="615">H417+I417</f>
        <v>1.9134258921474738</v>
      </c>
      <c r="K417" s="698">
        <f>S403</f>
        <v>0.57999999999999996</v>
      </c>
      <c r="L417" s="1455"/>
      <c r="M417" s="693">
        <f>IF(S411&gt;0.000001,S411,IF(S411&lt;=0.000001,$E$408))</f>
        <v>0.24480402499999959</v>
      </c>
      <c r="N417" s="525"/>
      <c r="O417" s="851">
        <v>2</v>
      </c>
      <c r="P417" s="655">
        <f>IFERROR(1/2*ID!E8,"-")</f>
        <v>0.05</v>
      </c>
      <c r="R417" s="575">
        <f>UB!J28</f>
        <v>0.64315294607373441</v>
      </c>
      <c r="S417" s="453"/>
      <c r="T417" s="453"/>
      <c r="U417" s="891" t="str">
        <f t="shared" ref="U417:U419" si="616">TEXT(R417,$T$416)</f>
        <v>0.64</v>
      </c>
    </row>
    <row r="418" spans="1:21" ht="14.25" x14ac:dyDescent="0.2">
      <c r="A418" s="463">
        <f>ID!D36</f>
        <v>100</v>
      </c>
      <c r="B418" s="694">
        <f>AVERAGE(ID!F36:K36)</f>
        <v>100.07333333333332</v>
      </c>
      <c r="C418" s="695">
        <f>B418+N408</f>
        <v>99.483274666666659</v>
      </c>
      <c r="D418" s="695">
        <f>STDEV(ID!F36:K36)</f>
        <v>1.8618986725027657E-2</v>
      </c>
      <c r="E418" s="695">
        <f>A418-C418</f>
        <v>0.51672533333334059</v>
      </c>
      <c r="F418" s="695">
        <f>(E418/A418)*100</f>
        <v>0.51672533333334059</v>
      </c>
      <c r="G418" s="696">
        <f>C418-A418</f>
        <v>-0.51672533333334059</v>
      </c>
      <c r="H418" s="697">
        <f t="shared" si="614"/>
        <v>0.51672533333334059</v>
      </c>
      <c r="I418" s="694">
        <f>(UB!J41/A418)*100</f>
        <v>0.66062693655810079</v>
      </c>
      <c r="J418" s="694">
        <f t="shared" si="615"/>
        <v>1.1773522698914414</v>
      </c>
      <c r="K418" s="698">
        <f>W400</f>
        <v>0.57999999999999996</v>
      </c>
      <c r="L418" s="1456">
        <f>IF(P417="-",P416,IF(P417&gt;=0,P417))</f>
        <v>0.05</v>
      </c>
      <c r="M418" s="693">
        <f>IF(W408&gt;0.000001,W408,IF(W408&lt;=0.000001,$E$409))</f>
        <v>0.27468996480000168</v>
      </c>
      <c r="N418" s="526"/>
      <c r="R418" s="575">
        <f>UB!J41</f>
        <v>0.66062693655810079</v>
      </c>
      <c r="S418" s="453"/>
      <c r="T418" s="453"/>
      <c r="U418" s="891" t="str">
        <f t="shared" si="616"/>
        <v>0.66</v>
      </c>
    </row>
    <row r="419" spans="1:21" ht="14.25" x14ac:dyDescent="0.2">
      <c r="A419" s="463">
        <f>ID!D37</f>
        <v>500</v>
      </c>
      <c r="B419" s="694">
        <f>AVERAGE(ID!F37:K37)</f>
        <v>500.3</v>
      </c>
      <c r="C419" s="695">
        <f>B419+N411</f>
        <v>499.34973000000002</v>
      </c>
      <c r="D419" s="695">
        <f>STDEV(ID!F37:K37)</f>
        <v>8.9442719099910237E-3</v>
      </c>
      <c r="E419" s="695">
        <f>A419-C419</f>
        <v>0.6502699999999777</v>
      </c>
      <c r="F419" s="695">
        <f>(E419/A419)*100</f>
        <v>0.13005399999999553</v>
      </c>
      <c r="G419" s="696">
        <f>C419-A419</f>
        <v>-0.6502699999999777</v>
      </c>
      <c r="H419" s="697">
        <f t="shared" si="614"/>
        <v>0.13005399999999553</v>
      </c>
      <c r="I419" s="694">
        <f>(UB!J54/A419)*100</f>
        <v>0.1743588601826615</v>
      </c>
      <c r="J419" s="694">
        <f t="shared" si="615"/>
        <v>0.30441286018265701</v>
      </c>
      <c r="K419" s="698">
        <f>W403</f>
        <v>0.57999999999999996</v>
      </c>
      <c r="L419" s="1456"/>
      <c r="M419" s="693">
        <f>IF(W411&gt;0.000001,W411,IF(W411&lt;=0.000001,$E$410))</f>
        <v>0.56949604074999427</v>
      </c>
      <c r="N419" s="526"/>
      <c r="R419" s="575">
        <f>UB!J54</f>
        <v>0.87179430091330756</v>
      </c>
      <c r="S419" s="453"/>
      <c r="T419" s="453"/>
      <c r="U419" s="891" t="str">
        <f t="shared" si="616"/>
        <v>0.87</v>
      </c>
    </row>
    <row r="420" spans="1:21" x14ac:dyDescent="0.2">
      <c r="A420" s="541" t="s">
        <v>291</v>
      </c>
      <c r="B420" s="694">
        <f>AVERAGE(ID!F41:K41)</f>
        <v>10</v>
      </c>
      <c r="C420" s="695">
        <f>B420+B413</f>
        <v>9.944190714285714</v>
      </c>
      <c r="D420" s="695">
        <f>STDEV(ID!F41:K41)</f>
        <v>0</v>
      </c>
      <c r="E420" s="699" t="s">
        <v>291</v>
      </c>
      <c r="F420" s="699" t="s">
        <v>291</v>
      </c>
      <c r="G420" s="700" t="s">
        <v>291</v>
      </c>
      <c r="H420" s="697"/>
      <c r="I420" s="852"/>
      <c r="J420" s="697"/>
      <c r="K420" s="698">
        <f>D413</f>
        <v>4.9999999999999996E-2</v>
      </c>
      <c r="L420" s="701"/>
      <c r="M420" s="693">
        <f>IF(C413&gt;0.000001,C413,IF(C413&lt;=0.000001,$E$413))</f>
        <v>9.9444304040748315E-3</v>
      </c>
      <c r="N420" s="526"/>
    </row>
    <row r="422" spans="1:21" ht="13.5" thickBot="1" x14ac:dyDescent="0.25"/>
    <row r="423" spans="1:21" ht="15" x14ac:dyDescent="0.2">
      <c r="A423" s="853" t="str">
        <f>ID!B48</f>
        <v>Infusion device analyzer menggunakan channel 3 (IDA 5, SN : 5157005)</v>
      </c>
      <c r="B423" s="854"/>
      <c r="C423" s="854"/>
      <c r="D423" s="854"/>
      <c r="E423" s="854"/>
      <c r="F423" s="854"/>
      <c r="G423" s="854"/>
      <c r="H423" s="854"/>
      <c r="I423" s="1457" t="s">
        <v>440</v>
      </c>
      <c r="J423" s="1457"/>
      <c r="K423" s="1457"/>
      <c r="L423" s="570"/>
      <c r="N423" s="901">
        <f>A458</f>
        <v>25</v>
      </c>
      <c r="O423" s="855"/>
      <c r="P423" s="855"/>
      <c r="Q423" s="855"/>
      <c r="R423" s="855"/>
      <c r="S423" s="855"/>
      <c r="T423" s="855"/>
      <c r="U423" s="856"/>
    </row>
    <row r="424" spans="1:21" ht="15" x14ac:dyDescent="0.2">
      <c r="A424" s="542" t="s">
        <v>546</v>
      </c>
      <c r="B424" s="543"/>
      <c r="C424" s="543"/>
      <c r="D424" s="543"/>
      <c r="E424" s="543"/>
      <c r="F424" s="543"/>
      <c r="G424" s="543"/>
      <c r="H424" s="543"/>
      <c r="I424" s="544">
        <f>B5</f>
        <v>2021</v>
      </c>
      <c r="J424" s="544">
        <f>C5</f>
        <v>2019</v>
      </c>
      <c r="K424" s="544" t="str">
        <f>D5</f>
        <v>-</v>
      </c>
      <c r="L424" s="896">
        <v>1</v>
      </c>
      <c r="N424" s="902">
        <v>1</v>
      </c>
      <c r="O424" s="545" t="s">
        <v>441</v>
      </c>
      <c r="P424" s="857"/>
      <c r="Q424" s="857"/>
      <c r="R424" s="857"/>
      <c r="S424" s="857"/>
      <c r="T424" s="857"/>
      <c r="U424" s="858"/>
    </row>
    <row r="425" spans="1:21" ht="15" x14ac:dyDescent="0.2">
      <c r="A425" s="542" t="s">
        <v>547</v>
      </c>
      <c r="B425" s="543"/>
      <c r="C425" s="543"/>
      <c r="D425" s="543"/>
      <c r="E425" s="543"/>
      <c r="F425" s="543"/>
      <c r="G425" s="543"/>
      <c r="H425" s="543"/>
      <c r="I425" s="544">
        <f>I424</f>
        <v>2021</v>
      </c>
      <c r="J425" s="544">
        <f>J424</f>
        <v>2019</v>
      </c>
      <c r="K425" s="544" t="str">
        <f>K424</f>
        <v>-</v>
      </c>
      <c r="L425" s="896">
        <v>2</v>
      </c>
      <c r="N425" s="902">
        <v>2</v>
      </c>
      <c r="O425" s="545" t="s">
        <v>442</v>
      </c>
      <c r="P425" s="857"/>
      <c r="Q425" s="857"/>
      <c r="R425" s="857"/>
      <c r="S425" s="857"/>
      <c r="T425" s="857"/>
      <c r="U425" s="858"/>
    </row>
    <row r="426" spans="1:21" ht="15" x14ac:dyDescent="0.2">
      <c r="A426" s="542" t="s">
        <v>548</v>
      </c>
      <c r="B426" s="543"/>
      <c r="C426" s="543"/>
      <c r="D426" s="543"/>
      <c r="E426" s="543"/>
      <c r="F426" s="543"/>
      <c r="G426" s="543"/>
      <c r="H426" s="543"/>
      <c r="I426" s="544">
        <f t="shared" ref="I426:J427" si="617">I425</f>
        <v>2021</v>
      </c>
      <c r="J426" s="544">
        <f t="shared" si="617"/>
        <v>2019</v>
      </c>
      <c r="K426" s="544" t="str">
        <f t="shared" ref="K426" si="618">K425</f>
        <v>-</v>
      </c>
      <c r="L426" s="896">
        <v>3</v>
      </c>
      <c r="N426" s="902">
        <v>3</v>
      </c>
      <c r="O426" s="545" t="s">
        <v>443</v>
      </c>
      <c r="P426" s="857"/>
      <c r="Q426" s="857"/>
      <c r="R426" s="857"/>
      <c r="S426" s="857"/>
      <c r="T426" s="857"/>
      <c r="U426" s="858"/>
    </row>
    <row r="427" spans="1:21" ht="15" x14ac:dyDescent="0.2">
      <c r="A427" s="542" t="s">
        <v>549</v>
      </c>
      <c r="B427" s="543"/>
      <c r="C427" s="543"/>
      <c r="D427" s="543"/>
      <c r="E427" s="543"/>
      <c r="F427" s="543"/>
      <c r="G427" s="543"/>
      <c r="H427" s="543"/>
      <c r="I427" s="544">
        <f t="shared" si="617"/>
        <v>2021</v>
      </c>
      <c r="J427" s="544">
        <f t="shared" si="617"/>
        <v>2019</v>
      </c>
      <c r="K427" s="544" t="str">
        <f t="shared" ref="K427" si="619">K426</f>
        <v>-</v>
      </c>
      <c r="L427" s="896">
        <v>4</v>
      </c>
      <c r="N427" s="902">
        <v>4</v>
      </c>
      <c r="O427" s="545" t="s">
        <v>444</v>
      </c>
      <c r="P427" s="857"/>
      <c r="Q427" s="857"/>
      <c r="R427" s="857"/>
      <c r="S427" s="857"/>
      <c r="T427" s="857"/>
      <c r="U427" s="858"/>
    </row>
    <row r="428" spans="1:21" ht="15" x14ac:dyDescent="0.2">
      <c r="A428" s="542" t="s">
        <v>550</v>
      </c>
      <c r="B428" s="543"/>
      <c r="C428" s="543"/>
      <c r="D428" s="543"/>
      <c r="E428" s="543"/>
      <c r="F428" s="543"/>
      <c r="G428" s="543"/>
      <c r="H428" s="543"/>
      <c r="I428" s="544">
        <f>P5</f>
        <v>2022</v>
      </c>
      <c r="J428" s="544">
        <f>Q5</f>
        <v>2019</v>
      </c>
      <c r="K428" s="544">
        <f>R5</f>
        <v>2018</v>
      </c>
      <c r="L428" s="896">
        <v>5</v>
      </c>
      <c r="N428" s="902">
        <v>5</v>
      </c>
      <c r="O428" s="545" t="s">
        <v>445</v>
      </c>
      <c r="P428" s="857"/>
      <c r="Q428" s="857"/>
      <c r="R428" s="857"/>
      <c r="S428" s="857"/>
      <c r="T428" s="857"/>
      <c r="U428" s="858"/>
    </row>
    <row r="429" spans="1:21" ht="15" x14ac:dyDescent="0.2">
      <c r="A429" s="542" t="s">
        <v>551</v>
      </c>
      <c r="B429" s="543"/>
      <c r="C429" s="543"/>
      <c r="D429" s="543"/>
      <c r="E429" s="543"/>
      <c r="F429" s="543"/>
      <c r="G429" s="543"/>
      <c r="H429" s="543"/>
      <c r="I429" s="544">
        <f>W5</f>
        <v>2022</v>
      </c>
      <c r="J429" s="544">
        <f>X5</f>
        <v>2019</v>
      </c>
      <c r="K429" s="544">
        <f>Y5</f>
        <v>2016</v>
      </c>
      <c r="L429" s="896">
        <v>6</v>
      </c>
      <c r="N429" s="902">
        <v>6</v>
      </c>
      <c r="O429" s="545" t="s">
        <v>441</v>
      </c>
      <c r="P429" s="857"/>
      <c r="Q429" s="857"/>
      <c r="R429" s="857"/>
      <c r="S429" s="857"/>
      <c r="T429" s="857"/>
      <c r="U429" s="858"/>
    </row>
    <row r="430" spans="1:21" ht="15" x14ac:dyDescent="0.2">
      <c r="A430" s="542" t="s">
        <v>552</v>
      </c>
      <c r="B430" s="543"/>
      <c r="C430" s="543"/>
      <c r="D430" s="543"/>
      <c r="E430" s="543"/>
      <c r="F430" s="543"/>
      <c r="G430" s="543"/>
      <c r="H430" s="543"/>
      <c r="I430" s="544">
        <f>I429</f>
        <v>2022</v>
      </c>
      <c r="J430" s="544">
        <f>J429</f>
        <v>2019</v>
      </c>
      <c r="K430" s="544">
        <f>K429</f>
        <v>2016</v>
      </c>
      <c r="L430" s="896">
        <v>7</v>
      </c>
      <c r="N430" s="902">
        <v>7</v>
      </c>
      <c r="O430" s="545" t="s">
        <v>442</v>
      </c>
      <c r="P430" s="857"/>
      <c r="Q430" s="857"/>
      <c r="R430" s="857"/>
      <c r="S430" s="857"/>
      <c r="T430" s="857"/>
      <c r="U430" s="858"/>
    </row>
    <row r="431" spans="1:21" ht="15" x14ac:dyDescent="0.2">
      <c r="A431" s="542" t="s">
        <v>553</v>
      </c>
      <c r="B431" s="543"/>
      <c r="C431" s="543"/>
      <c r="D431" s="543"/>
      <c r="E431" s="543"/>
      <c r="F431" s="543"/>
      <c r="G431" s="543"/>
      <c r="H431" s="543"/>
      <c r="I431" s="544">
        <f t="shared" ref="I431:J432" si="620">I430</f>
        <v>2022</v>
      </c>
      <c r="J431" s="544">
        <f t="shared" si="620"/>
        <v>2019</v>
      </c>
      <c r="K431" s="544">
        <f t="shared" ref="K431" si="621">K430</f>
        <v>2016</v>
      </c>
      <c r="L431" s="896">
        <v>8</v>
      </c>
      <c r="N431" s="902">
        <v>8</v>
      </c>
      <c r="O431" s="545" t="s">
        <v>443</v>
      </c>
      <c r="P431" s="857"/>
      <c r="Q431" s="857"/>
      <c r="R431" s="857"/>
      <c r="S431" s="857"/>
      <c r="T431" s="857"/>
      <c r="U431" s="858"/>
    </row>
    <row r="432" spans="1:21" ht="15" x14ac:dyDescent="0.2">
      <c r="A432" s="542" t="s">
        <v>554</v>
      </c>
      <c r="B432" s="543"/>
      <c r="C432" s="543"/>
      <c r="D432" s="543"/>
      <c r="E432" s="543"/>
      <c r="F432" s="543"/>
      <c r="G432" s="543"/>
      <c r="H432" s="543"/>
      <c r="I432" s="544">
        <f t="shared" si="620"/>
        <v>2022</v>
      </c>
      <c r="J432" s="544">
        <f t="shared" si="620"/>
        <v>2019</v>
      </c>
      <c r="K432" s="544">
        <f t="shared" ref="K432" si="622">K431</f>
        <v>2016</v>
      </c>
      <c r="L432" s="896">
        <v>9</v>
      </c>
      <c r="N432" s="902">
        <v>9</v>
      </c>
      <c r="O432" s="545" t="s">
        <v>444</v>
      </c>
      <c r="P432" s="857"/>
      <c r="Q432" s="857"/>
      <c r="R432" s="857"/>
      <c r="S432" s="857"/>
      <c r="T432" s="857"/>
      <c r="U432" s="858"/>
    </row>
    <row r="433" spans="1:21" ht="15" x14ac:dyDescent="0.2">
      <c r="A433" s="542" t="s">
        <v>446</v>
      </c>
      <c r="B433" s="543"/>
      <c r="C433" s="543"/>
      <c r="D433" s="543"/>
      <c r="E433" s="543"/>
      <c r="F433" s="543"/>
      <c r="G433" s="543"/>
      <c r="H433" s="543"/>
      <c r="I433" s="544">
        <f>B56</f>
        <v>2018</v>
      </c>
      <c r="J433" s="544" t="str">
        <f>C56</f>
        <v>-</v>
      </c>
      <c r="K433" s="544" t="str">
        <f>D56</f>
        <v>-</v>
      </c>
      <c r="L433" s="896">
        <v>10</v>
      </c>
      <c r="N433" s="902">
        <v>10</v>
      </c>
      <c r="O433" s="545" t="s">
        <v>441</v>
      </c>
      <c r="P433" s="857"/>
      <c r="Q433" s="857"/>
      <c r="R433" s="857"/>
      <c r="S433" s="857"/>
      <c r="T433" s="857"/>
      <c r="U433" s="858"/>
    </row>
    <row r="434" spans="1:21" ht="15" x14ac:dyDescent="0.2">
      <c r="A434" s="542" t="s">
        <v>447</v>
      </c>
      <c r="B434" s="543"/>
      <c r="C434" s="543"/>
      <c r="D434" s="543"/>
      <c r="E434" s="543"/>
      <c r="F434" s="543"/>
      <c r="G434" s="543"/>
      <c r="H434" s="543"/>
      <c r="I434" s="544">
        <f>I433</f>
        <v>2018</v>
      </c>
      <c r="J434" s="544" t="str">
        <f>J433</f>
        <v>-</v>
      </c>
      <c r="K434" s="544" t="str">
        <f>K433</f>
        <v>-</v>
      </c>
      <c r="L434" s="896">
        <v>11</v>
      </c>
      <c r="N434" s="902">
        <v>11</v>
      </c>
      <c r="O434" s="545" t="s">
        <v>442</v>
      </c>
      <c r="P434" s="857"/>
      <c r="Q434" s="857"/>
      <c r="R434" s="857"/>
      <c r="S434" s="857"/>
      <c r="T434" s="857"/>
      <c r="U434" s="858"/>
    </row>
    <row r="435" spans="1:21" ht="15" x14ac:dyDescent="0.2">
      <c r="A435" s="542" t="s">
        <v>448</v>
      </c>
      <c r="B435" s="543"/>
      <c r="C435" s="543"/>
      <c r="D435" s="543"/>
      <c r="E435" s="543"/>
      <c r="F435" s="543"/>
      <c r="G435" s="543"/>
      <c r="H435" s="543"/>
      <c r="I435" s="544">
        <f t="shared" ref="I435:J436" si="623">I434</f>
        <v>2018</v>
      </c>
      <c r="J435" s="544" t="str">
        <f t="shared" si="623"/>
        <v>-</v>
      </c>
      <c r="K435" s="544" t="str">
        <f t="shared" ref="K435" si="624">K434</f>
        <v>-</v>
      </c>
      <c r="L435" s="896">
        <v>12</v>
      </c>
      <c r="N435" s="902">
        <v>12</v>
      </c>
      <c r="O435" s="545" t="s">
        <v>443</v>
      </c>
      <c r="P435" s="857"/>
      <c r="Q435" s="857"/>
      <c r="R435" s="857"/>
      <c r="S435" s="857"/>
      <c r="T435" s="857"/>
      <c r="U435" s="858"/>
    </row>
    <row r="436" spans="1:21" ht="15" x14ac:dyDescent="0.2">
      <c r="A436" s="542" t="s">
        <v>449</v>
      </c>
      <c r="B436" s="543"/>
      <c r="C436" s="543"/>
      <c r="D436" s="543"/>
      <c r="E436" s="543"/>
      <c r="F436" s="543"/>
      <c r="G436" s="543"/>
      <c r="H436" s="543"/>
      <c r="I436" s="544">
        <f t="shared" si="623"/>
        <v>2018</v>
      </c>
      <c r="J436" s="544" t="str">
        <f t="shared" si="623"/>
        <v>-</v>
      </c>
      <c r="K436" s="544" t="str">
        <f t="shared" ref="K436" si="625">K435</f>
        <v>-</v>
      </c>
      <c r="L436" s="896">
        <v>13</v>
      </c>
      <c r="N436" s="902">
        <v>13</v>
      </c>
      <c r="O436" s="545" t="s">
        <v>444</v>
      </c>
      <c r="P436" s="857"/>
      <c r="Q436" s="857"/>
      <c r="R436" s="857"/>
      <c r="S436" s="857"/>
      <c r="T436" s="857"/>
      <c r="U436" s="858"/>
    </row>
    <row r="437" spans="1:21" ht="15" x14ac:dyDescent="0.2">
      <c r="A437" s="542" t="s">
        <v>450</v>
      </c>
      <c r="B437" s="543"/>
      <c r="C437" s="543"/>
      <c r="D437" s="543"/>
      <c r="E437" s="543"/>
      <c r="F437" s="543"/>
      <c r="G437" s="543"/>
      <c r="H437" s="543"/>
      <c r="I437" s="544" t="str">
        <f>P56</f>
        <v>-</v>
      </c>
      <c r="J437" s="544" t="str">
        <f>Q56</f>
        <v>-</v>
      </c>
      <c r="K437" s="544" t="str">
        <f>R56</f>
        <v>-</v>
      </c>
      <c r="L437" s="896">
        <v>14</v>
      </c>
      <c r="N437" s="902">
        <v>14</v>
      </c>
      <c r="O437" s="545" t="s">
        <v>445</v>
      </c>
      <c r="P437" s="857"/>
      <c r="Q437" s="857"/>
      <c r="R437" s="857"/>
      <c r="S437" s="857"/>
      <c r="T437" s="857"/>
      <c r="U437" s="858"/>
    </row>
    <row r="438" spans="1:21" ht="15" x14ac:dyDescent="0.2">
      <c r="A438" s="542" t="s">
        <v>451</v>
      </c>
      <c r="B438" s="543"/>
      <c r="C438" s="543"/>
      <c r="D438" s="543"/>
      <c r="E438" s="543"/>
      <c r="F438" s="543"/>
      <c r="G438" s="543"/>
      <c r="H438" s="543"/>
      <c r="I438" s="544">
        <f>W56</f>
        <v>2021</v>
      </c>
      <c r="J438" s="544">
        <f>X56</f>
        <v>2019</v>
      </c>
      <c r="K438" s="544" t="str">
        <f>Y56</f>
        <v>-</v>
      </c>
      <c r="L438" s="896">
        <v>15</v>
      </c>
      <c r="N438" s="902">
        <v>15</v>
      </c>
      <c r="O438" s="545" t="s">
        <v>441</v>
      </c>
      <c r="P438" s="857"/>
      <c r="Q438" s="857"/>
      <c r="R438" s="857"/>
      <c r="S438" s="857"/>
      <c r="T438" s="857"/>
      <c r="U438" s="858"/>
    </row>
    <row r="439" spans="1:21" ht="15" x14ac:dyDescent="0.2">
      <c r="A439" s="542" t="s">
        <v>452</v>
      </c>
      <c r="B439" s="543"/>
      <c r="C439" s="543"/>
      <c r="D439" s="543"/>
      <c r="E439" s="543"/>
      <c r="F439" s="543"/>
      <c r="G439" s="543"/>
      <c r="H439" s="543"/>
      <c r="I439" s="544">
        <f t="shared" ref="I439:K440" si="626">I438</f>
        <v>2021</v>
      </c>
      <c r="J439" s="544">
        <f t="shared" si="626"/>
        <v>2019</v>
      </c>
      <c r="K439" s="544" t="str">
        <f t="shared" si="626"/>
        <v>-</v>
      </c>
      <c r="L439" s="896">
        <v>16</v>
      </c>
      <c r="N439" s="902">
        <v>16</v>
      </c>
      <c r="O439" s="545" t="s">
        <v>442</v>
      </c>
      <c r="P439" s="857"/>
      <c r="Q439" s="857"/>
      <c r="R439" s="857"/>
      <c r="S439" s="857"/>
      <c r="T439" s="857"/>
      <c r="U439" s="858"/>
    </row>
    <row r="440" spans="1:21" ht="15" x14ac:dyDescent="0.2">
      <c r="A440" s="542" t="s">
        <v>453</v>
      </c>
      <c r="B440" s="543"/>
      <c r="C440" s="543"/>
      <c r="D440" s="543"/>
      <c r="E440" s="543"/>
      <c r="F440" s="543"/>
      <c r="G440" s="543"/>
      <c r="H440" s="543"/>
      <c r="I440" s="544">
        <f t="shared" si="626"/>
        <v>2021</v>
      </c>
      <c r="J440" s="544">
        <f t="shared" si="626"/>
        <v>2019</v>
      </c>
      <c r="K440" s="544" t="str">
        <f t="shared" si="626"/>
        <v>-</v>
      </c>
      <c r="L440" s="896">
        <v>17</v>
      </c>
      <c r="N440" s="902">
        <v>17</v>
      </c>
      <c r="O440" s="545" t="s">
        <v>443</v>
      </c>
      <c r="P440" s="857"/>
      <c r="Q440" s="857"/>
      <c r="R440" s="857"/>
      <c r="S440" s="857"/>
      <c r="T440" s="857"/>
      <c r="U440" s="858"/>
    </row>
    <row r="441" spans="1:21" ht="15" x14ac:dyDescent="0.2">
      <c r="A441" s="542" t="s">
        <v>454</v>
      </c>
      <c r="B441" s="543"/>
      <c r="C441" s="543"/>
      <c r="D441" s="543"/>
      <c r="E441" s="543"/>
      <c r="F441" s="543"/>
      <c r="G441" s="543"/>
      <c r="H441" s="543"/>
      <c r="I441" s="544">
        <f>I438</f>
        <v>2021</v>
      </c>
      <c r="J441" s="544">
        <f>J438</f>
        <v>2019</v>
      </c>
      <c r="K441" s="544" t="str">
        <f>K438</f>
        <v>-</v>
      </c>
      <c r="L441" s="896">
        <v>18</v>
      </c>
      <c r="N441" s="902">
        <v>18</v>
      </c>
      <c r="O441" s="545" t="s">
        <v>444</v>
      </c>
      <c r="P441" s="857"/>
      <c r="Q441" s="857"/>
      <c r="R441" s="857"/>
      <c r="S441" s="857"/>
      <c r="T441" s="857"/>
      <c r="U441" s="858"/>
    </row>
    <row r="442" spans="1:21" ht="15" x14ac:dyDescent="0.2">
      <c r="A442" s="542" t="s">
        <v>455</v>
      </c>
      <c r="B442" s="543"/>
      <c r="C442" s="543"/>
      <c r="D442" s="543"/>
      <c r="E442" s="543"/>
      <c r="F442" s="543"/>
      <c r="G442" s="543"/>
      <c r="H442" s="543"/>
      <c r="I442" s="544">
        <f>AK5</f>
        <v>2022</v>
      </c>
      <c r="J442" s="544">
        <f>AL5</f>
        <v>2021</v>
      </c>
      <c r="K442" s="544" t="str">
        <f>AM5</f>
        <v>-</v>
      </c>
      <c r="L442" s="896">
        <v>19</v>
      </c>
      <c r="N442" s="902">
        <v>19</v>
      </c>
      <c r="O442" s="545" t="s">
        <v>441</v>
      </c>
      <c r="P442" s="857"/>
      <c r="Q442" s="857"/>
      <c r="R442" s="857"/>
      <c r="S442" s="857"/>
      <c r="T442" s="859"/>
      <c r="U442" s="860"/>
    </row>
    <row r="443" spans="1:21" ht="15" x14ac:dyDescent="0.2">
      <c r="A443" s="542" t="s">
        <v>456</v>
      </c>
      <c r="B443" s="543"/>
      <c r="C443" s="543"/>
      <c r="D443" s="543"/>
      <c r="E443" s="543"/>
      <c r="F443" s="543"/>
      <c r="G443" s="543"/>
      <c r="H443" s="543"/>
      <c r="I443" s="544">
        <f>AK19</f>
        <v>2022</v>
      </c>
      <c r="J443" s="544">
        <f>AL19</f>
        <v>2021</v>
      </c>
      <c r="K443" s="544" t="str">
        <f>AM19</f>
        <v>-</v>
      </c>
      <c r="L443" s="896">
        <v>20</v>
      </c>
      <c r="N443" s="902">
        <v>20</v>
      </c>
      <c r="O443" s="545" t="s">
        <v>442</v>
      </c>
      <c r="P443" s="857"/>
      <c r="Q443" s="857"/>
      <c r="R443" s="857"/>
      <c r="S443" s="857"/>
      <c r="T443" s="859"/>
      <c r="U443" s="860"/>
    </row>
    <row r="444" spans="1:21" ht="15" x14ac:dyDescent="0.2">
      <c r="A444" s="542" t="s">
        <v>457</v>
      </c>
      <c r="B444" s="543"/>
      <c r="C444" s="543"/>
      <c r="D444" s="543"/>
      <c r="E444" s="543"/>
      <c r="F444" s="543"/>
      <c r="G444" s="543"/>
      <c r="H444" s="543"/>
      <c r="I444" s="544">
        <f>BF5</f>
        <v>2022</v>
      </c>
      <c r="J444" s="544" t="str">
        <f>BG5</f>
        <v>-</v>
      </c>
      <c r="K444" s="544" t="str">
        <f>BH5</f>
        <v>-</v>
      </c>
      <c r="L444" s="896">
        <v>21</v>
      </c>
      <c r="N444" s="902">
        <v>21</v>
      </c>
      <c r="O444" s="545" t="s">
        <v>443</v>
      </c>
      <c r="P444" s="857"/>
      <c r="Q444" s="857"/>
      <c r="R444" s="857"/>
      <c r="S444" s="857"/>
      <c r="T444" s="859"/>
      <c r="U444" s="860"/>
    </row>
    <row r="445" spans="1:21" ht="15" x14ac:dyDescent="0.2">
      <c r="A445" s="542" t="s">
        <v>150</v>
      </c>
      <c r="B445" s="543"/>
      <c r="C445" s="543"/>
      <c r="D445" s="543"/>
      <c r="E445" s="543"/>
      <c r="F445" s="543"/>
      <c r="G445" s="543"/>
      <c r="H445" s="543"/>
      <c r="I445" s="544">
        <f>AR19</f>
        <v>2022</v>
      </c>
      <c r="J445" s="544">
        <f>AS19</f>
        <v>2021</v>
      </c>
      <c r="K445" s="544" t="str">
        <f>AT19</f>
        <v>-</v>
      </c>
      <c r="L445" s="896">
        <v>22</v>
      </c>
      <c r="N445" s="902">
        <v>22</v>
      </c>
      <c r="O445" s="545" t="s">
        <v>444</v>
      </c>
      <c r="P445" s="857"/>
      <c r="Q445" s="857"/>
      <c r="R445" s="857"/>
      <c r="S445" s="857"/>
      <c r="T445" s="859"/>
      <c r="U445" s="860"/>
    </row>
    <row r="446" spans="1:21" ht="15" x14ac:dyDescent="0.2">
      <c r="A446" s="542" t="s">
        <v>458</v>
      </c>
      <c r="B446" s="543"/>
      <c r="C446" s="543"/>
      <c r="D446" s="543"/>
      <c r="E446" s="543"/>
      <c r="F446" s="543"/>
      <c r="G446" s="543"/>
      <c r="H446" s="543"/>
      <c r="I446" s="544">
        <f>AK56</f>
        <v>2022</v>
      </c>
      <c r="J446" s="544">
        <f>AL56</f>
        <v>2021</v>
      </c>
      <c r="K446" s="544" t="str">
        <f>AM56</f>
        <v>-</v>
      </c>
      <c r="L446" s="896">
        <v>23</v>
      </c>
      <c r="N446" s="902">
        <v>23</v>
      </c>
      <c r="O446" s="545" t="s">
        <v>441</v>
      </c>
      <c r="P446" s="857"/>
      <c r="Q446" s="857"/>
      <c r="R446" s="857"/>
      <c r="S446" s="857"/>
      <c r="T446" s="859"/>
      <c r="U446" s="860"/>
    </row>
    <row r="447" spans="1:21" ht="15" x14ac:dyDescent="0.2">
      <c r="A447" s="542" t="s">
        <v>459</v>
      </c>
      <c r="B447" s="543"/>
      <c r="C447" s="543"/>
      <c r="D447" s="543"/>
      <c r="E447" s="543"/>
      <c r="F447" s="543"/>
      <c r="G447" s="543"/>
      <c r="H447" s="543"/>
      <c r="I447" s="544">
        <f>AK70</f>
        <v>2022</v>
      </c>
      <c r="J447" s="544">
        <f>AL70</f>
        <v>2021</v>
      </c>
      <c r="K447" s="544" t="str">
        <f>AM70</f>
        <v>-</v>
      </c>
      <c r="L447" s="896">
        <v>24</v>
      </c>
      <c r="N447" s="902">
        <v>24</v>
      </c>
      <c r="O447" s="545" t="s">
        <v>442</v>
      </c>
      <c r="P447" s="857"/>
      <c r="Q447" s="857"/>
      <c r="R447" s="857"/>
      <c r="S447" s="857"/>
      <c r="T447" s="859"/>
      <c r="U447" s="860"/>
    </row>
    <row r="448" spans="1:21" ht="15" x14ac:dyDescent="0.2">
      <c r="A448" s="542" t="s">
        <v>460</v>
      </c>
      <c r="B448" s="543"/>
      <c r="C448" s="543"/>
      <c r="D448" s="543"/>
      <c r="E448" s="543"/>
      <c r="F448" s="543"/>
      <c r="G448" s="543"/>
      <c r="H448" s="543"/>
      <c r="I448" s="544">
        <f>AR56</f>
        <v>2022</v>
      </c>
      <c r="J448" s="544">
        <f>AS56</f>
        <v>2021</v>
      </c>
      <c r="K448" s="544" t="str">
        <f>AT56</f>
        <v>-</v>
      </c>
      <c r="L448" s="896">
        <v>25</v>
      </c>
      <c r="N448" s="902">
        <v>25</v>
      </c>
      <c r="O448" s="545" t="s">
        <v>443</v>
      </c>
      <c r="P448" s="857"/>
      <c r="Q448" s="857"/>
      <c r="R448" s="857"/>
      <c r="S448" s="857"/>
      <c r="T448" s="859"/>
      <c r="U448" s="860"/>
    </row>
    <row r="449" spans="1:25" ht="15" x14ac:dyDescent="0.2">
      <c r="A449" s="542" t="s">
        <v>461</v>
      </c>
      <c r="B449" s="543"/>
      <c r="C449" s="543"/>
      <c r="D449" s="543"/>
      <c r="E449" s="543"/>
      <c r="F449" s="543"/>
      <c r="G449" s="543"/>
      <c r="H449" s="543"/>
      <c r="I449" s="544">
        <f>AR70</f>
        <v>2022</v>
      </c>
      <c r="J449" s="544">
        <f>AS70</f>
        <v>2021</v>
      </c>
      <c r="K449" s="544" t="str">
        <f>AT70</f>
        <v>-</v>
      </c>
      <c r="L449" s="896">
        <v>26</v>
      </c>
      <c r="N449" s="902">
        <v>26</v>
      </c>
      <c r="O449" s="545" t="s">
        <v>444</v>
      </c>
      <c r="P449" s="857"/>
      <c r="Q449" s="857"/>
      <c r="R449" s="857"/>
      <c r="S449" s="857"/>
      <c r="T449" s="859"/>
      <c r="U449" s="860"/>
    </row>
    <row r="450" spans="1:25" ht="15" x14ac:dyDescent="0.2">
      <c r="A450" s="542" t="s">
        <v>462</v>
      </c>
      <c r="B450" s="543"/>
      <c r="C450" s="543"/>
      <c r="D450" s="543"/>
      <c r="E450" s="543"/>
      <c r="F450" s="543"/>
      <c r="G450" s="543"/>
      <c r="H450" s="543"/>
      <c r="I450" s="544">
        <f>AY5</f>
        <v>2022</v>
      </c>
      <c r="J450" s="544" t="str">
        <f>AZ5</f>
        <v>-</v>
      </c>
      <c r="K450" s="544" t="str">
        <f>BA5</f>
        <v>-</v>
      </c>
      <c r="L450" s="896">
        <v>27</v>
      </c>
      <c r="N450" s="902">
        <v>27</v>
      </c>
      <c r="O450" s="545" t="s">
        <v>441</v>
      </c>
      <c r="P450" s="857"/>
      <c r="Q450" s="857"/>
      <c r="R450" s="857"/>
      <c r="S450" s="857"/>
      <c r="T450" s="859"/>
      <c r="U450" s="860"/>
    </row>
    <row r="451" spans="1:25" ht="15" x14ac:dyDescent="0.2">
      <c r="A451" s="542" t="s">
        <v>463</v>
      </c>
      <c r="B451" s="543"/>
      <c r="C451" s="543"/>
      <c r="D451" s="543"/>
      <c r="E451" s="543"/>
      <c r="F451" s="543"/>
      <c r="G451" s="543"/>
      <c r="H451" s="543"/>
      <c r="I451" s="544">
        <f>AY19</f>
        <v>2022</v>
      </c>
      <c r="J451" s="544" t="str">
        <f>AZ19</f>
        <v>-</v>
      </c>
      <c r="K451" s="544" t="str">
        <f>BA19</f>
        <v>-</v>
      </c>
      <c r="L451" s="896">
        <v>28</v>
      </c>
      <c r="N451" s="902">
        <v>28</v>
      </c>
      <c r="O451" s="545" t="s">
        <v>442</v>
      </c>
      <c r="P451" s="857"/>
      <c r="Q451" s="857"/>
      <c r="R451" s="857"/>
      <c r="S451" s="857"/>
      <c r="T451" s="859"/>
      <c r="U451" s="860"/>
    </row>
    <row r="452" spans="1:25" ht="15" x14ac:dyDescent="0.2">
      <c r="A452" s="542" t="s">
        <v>464</v>
      </c>
      <c r="B452" s="543"/>
      <c r="C452" s="543"/>
      <c r="D452" s="543"/>
      <c r="E452" s="543"/>
      <c r="F452" s="543"/>
      <c r="G452" s="543"/>
      <c r="H452" s="543"/>
      <c r="I452" s="544">
        <f>BF5</f>
        <v>2022</v>
      </c>
      <c r="J452" s="544" t="str">
        <f>BG5</f>
        <v>-</v>
      </c>
      <c r="K452" s="544" t="str">
        <f>BH5</f>
        <v>-</v>
      </c>
      <c r="L452" s="896">
        <v>29</v>
      </c>
      <c r="N452" s="902">
        <v>29</v>
      </c>
      <c r="O452" s="545" t="s">
        <v>443</v>
      </c>
      <c r="P452" s="857"/>
      <c r="Q452" s="857"/>
      <c r="R452" s="857"/>
      <c r="S452" s="857"/>
      <c r="T452" s="859"/>
      <c r="U452" s="860"/>
    </row>
    <row r="453" spans="1:25" ht="15" x14ac:dyDescent="0.2">
      <c r="A453" s="542" t="s">
        <v>465</v>
      </c>
      <c r="B453" s="543"/>
      <c r="C453" s="543"/>
      <c r="D453" s="543"/>
      <c r="E453" s="543"/>
      <c r="F453" s="543"/>
      <c r="G453" s="543"/>
      <c r="H453" s="543"/>
      <c r="I453" s="544">
        <f>BF19</f>
        <v>2022</v>
      </c>
      <c r="J453" s="544" t="str">
        <f>BG19</f>
        <v>-</v>
      </c>
      <c r="K453" s="544" t="str">
        <f>BH19</f>
        <v>-</v>
      </c>
      <c r="L453" s="896">
        <v>30</v>
      </c>
      <c r="N453" s="902">
        <v>30</v>
      </c>
      <c r="O453" s="545" t="s">
        <v>444</v>
      </c>
      <c r="P453" s="857"/>
      <c r="Q453" s="857"/>
      <c r="R453" s="857"/>
      <c r="S453" s="857"/>
      <c r="T453" s="859"/>
      <c r="U453" s="860"/>
    </row>
    <row r="454" spans="1:25" ht="15" x14ac:dyDescent="0.2">
      <c r="A454" s="542" t="s">
        <v>555</v>
      </c>
      <c r="B454" s="543"/>
      <c r="C454" s="543"/>
      <c r="D454" s="543"/>
      <c r="E454" s="543"/>
      <c r="F454" s="543"/>
      <c r="G454" s="543"/>
      <c r="H454" s="543"/>
      <c r="I454" s="544" t="str">
        <f>AY56</f>
        <v>-</v>
      </c>
      <c r="J454" s="544" t="str">
        <f>AZ56</f>
        <v>-</v>
      </c>
      <c r="K454" s="544" t="str">
        <f>BA56</f>
        <v>-</v>
      </c>
      <c r="L454" s="896">
        <v>31</v>
      </c>
      <c r="N454" s="902">
        <v>31</v>
      </c>
      <c r="O454" s="545" t="s">
        <v>441</v>
      </c>
      <c r="P454" s="857"/>
      <c r="Q454" s="857"/>
      <c r="R454" s="857"/>
      <c r="S454" s="857"/>
      <c r="T454" s="859"/>
      <c r="U454" s="860"/>
    </row>
    <row r="455" spans="1:25" ht="15" x14ac:dyDescent="0.2">
      <c r="A455" s="542" t="s">
        <v>556</v>
      </c>
      <c r="B455" s="543"/>
      <c r="C455" s="543"/>
      <c r="D455" s="543"/>
      <c r="E455" s="543"/>
      <c r="F455" s="543"/>
      <c r="G455" s="543"/>
      <c r="H455" s="543"/>
      <c r="I455" s="544" t="str">
        <f>AY70</f>
        <v>-</v>
      </c>
      <c r="J455" s="544" t="str">
        <f>AZ70</f>
        <v>-</v>
      </c>
      <c r="K455" s="544" t="str">
        <f>BA70</f>
        <v>-</v>
      </c>
      <c r="L455" s="896">
        <v>32</v>
      </c>
      <c r="N455" s="902">
        <v>32</v>
      </c>
      <c r="O455" s="545" t="s">
        <v>442</v>
      </c>
      <c r="P455" s="857"/>
      <c r="Q455" s="857"/>
      <c r="R455" s="857"/>
      <c r="S455" s="857"/>
      <c r="T455" s="859"/>
      <c r="U455" s="860"/>
    </row>
    <row r="456" spans="1:25" ht="15" x14ac:dyDescent="0.2">
      <c r="A456" s="542" t="s">
        <v>557</v>
      </c>
      <c r="B456" s="543"/>
      <c r="C456" s="543"/>
      <c r="D456" s="543"/>
      <c r="E456" s="543"/>
      <c r="F456" s="543"/>
      <c r="G456" s="543"/>
      <c r="H456" s="543"/>
      <c r="I456" s="544" t="str">
        <f>BF56</f>
        <v>-</v>
      </c>
      <c r="J456" s="544" t="str">
        <f>BG56</f>
        <v>-</v>
      </c>
      <c r="K456" s="544" t="str">
        <f>BH56</f>
        <v>-</v>
      </c>
      <c r="L456" s="896">
        <v>33</v>
      </c>
      <c r="N456" s="902">
        <v>33</v>
      </c>
      <c r="O456" s="545" t="s">
        <v>443</v>
      </c>
      <c r="P456" s="857"/>
      <c r="Q456" s="857"/>
      <c r="R456" s="857"/>
      <c r="S456" s="857"/>
      <c r="T456" s="859"/>
      <c r="U456" s="860"/>
    </row>
    <row r="457" spans="1:25" ht="15" x14ac:dyDescent="0.2">
      <c r="A457" s="542" t="s">
        <v>558</v>
      </c>
      <c r="B457" s="543"/>
      <c r="C457" s="543"/>
      <c r="D457" s="543"/>
      <c r="E457" s="543"/>
      <c r="F457" s="543"/>
      <c r="G457" s="543"/>
      <c r="H457" s="543"/>
      <c r="I457" s="544" t="str">
        <f>BF70</f>
        <v>-</v>
      </c>
      <c r="J457" s="544" t="str">
        <f>BG70</f>
        <v>-</v>
      </c>
      <c r="K457" s="544" t="str">
        <f>BH70</f>
        <v>-</v>
      </c>
      <c r="L457" s="896">
        <v>34</v>
      </c>
      <c r="N457" s="902">
        <v>34</v>
      </c>
      <c r="O457" s="545" t="s">
        <v>444</v>
      </c>
      <c r="P457" s="857"/>
      <c r="Q457" s="857"/>
      <c r="R457" s="857"/>
      <c r="S457" s="857"/>
      <c r="T457" s="859"/>
      <c r="U457" s="860"/>
    </row>
    <row r="458" spans="1:25" ht="13.5" thickBot="1" x14ac:dyDescent="0.25">
      <c r="A458" s="1447">
        <f>VLOOKUP(A423,A424:L457,12,(FALSE))</f>
        <v>25</v>
      </c>
      <c r="B458" s="1447"/>
      <c r="C458" s="1447"/>
      <c r="D458" s="1447"/>
      <c r="E458" s="1447"/>
      <c r="F458" s="1447"/>
      <c r="G458" s="1447"/>
      <c r="H458" s="1447"/>
      <c r="I458" s="1447"/>
      <c r="J458" s="1447"/>
      <c r="K458" s="1447"/>
      <c r="L458" s="570"/>
      <c r="N458" s="861" t="str">
        <f>VLOOKUP(N423,N424:U457,2,FALSE)</f>
        <v>Infusion device analyzer menggunakan channel 3</v>
      </c>
      <c r="O458" s="862"/>
      <c r="P458" s="862"/>
      <c r="Q458" s="862"/>
      <c r="R458" s="862"/>
      <c r="S458" s="862"/>
      <c r="T458" s="862"/>
      <c r="U458" s="863"/>
    </row>
    <row r="459" spans="1:25" ht="13.5" thickBot="1" x14ac:dyDescent="0.25"/>
    <row r="460" spans="1:25" ht="13.5" thickBot="1" x14ac:dyDescent="0.25">
      <c r="A460" s="861" t="str">
        <f>VLOOKUP(A458,A461:B494,2,(FALSE))</f>
        <v>Infusion Devices Analyzer, Merek : Fluke, Model : IDA 5, SN : 5157005</v>
      </c>
      <c r="B460" s="864"/>
      <c r="C460" s="865"/>
      <c r="D460" s="865"/>
      <c r="E460" s="865"/>
      <c r="F460" s="865"/>
      <c r="G460" s="865"/>
      <c r="H460" s="865"/>
      <c r="I460" s="865"/>
      <c r="J460" s="865"/>
      <c r="K460" s="865"/>
      <c r="L460" s="866"/>
      <c r="N460" s="1448">
        <f>A458</f>
        <v>25</v>
      </c>
      <c r="O460" s="1449"/>
      <c r="P460" s="1449"/>
      <c r="Q460" s="1449"/>
      <c r="R460" s="1449"/>
      <c r="S460" s="1449"/>
      <c r="T460" s="1449"/>
      <c r="U460" s="1449"/>
      <c r="V460" s="1449"/>
      <c r="W460" s="1449"/>
      <c r="X460" s="1449"/>
      <c r="Y460" s="1450"/>
    </row>
    <row r="461" spans="1:25" ht="15" x14ac:dyDescent="0.25">
      <c r="A461" s="897">
        <v>1</v>
      </c>
      <c r="B461" s="546" t="s">
        <v>466</v>
      </c>
      <c r="C461" s="547"/>
      <c r="D461" s="547"/>
      <c r="E461" s="547"/>
      <c r="F461" s="547"/>
      <c r="G461" s="867"/>
      <c r="H461" s="867"/>
      <c r="I461" s="867"/>
      <c r="J461" s="867"/>
      <c r="K461" s="868"/>
      <c r="L461" s="869"/>
      <c r="N461" s="903">
        <v>1</v>
      </c>
      <c r="O461" s="548" t="s">
        <v>467</v>
      </c>
      <c r="P461" s="548"/>
      <c r="Q461" s="548"/>
      <c r="R461" s="548"/>
      <c r="S461" s="548"/>
      <c r="T461" s="548"/>
      <c r="U461" s="548"/>
      <c r="V461" s="548"/>
      <c r="W461" s="548"/>
      <c r="X461" s="548"/>
      <c r="Y461" s="549"/>
    </row>
    <row r="462" spans="1:25" ht="15" x14ac:dyDescent="0.25">
      <c r="A462" s="898">
        <v>2</v>
      </c>
      <c r="B462" s="550" t="s">
        <v>466</v>
      </c>
      <c r="C462" s="551"/>
      <c r="D462" s="551"/>
      <c r="E462" s="551"/>
      <c r="F462" s="551"/>
      <c r="G462" s="870"/>
      <c r="H462" s="870"/>
      <c r="I462" s="870"/>
      <c r="J462" s="870"/>
      <c r="K462" s="871"/>
      <c r="L462" s="872"/>
      <c r="N462" s="903">
        <v>2</v>
      </c>
      <c r="O462" s="548" t="s">
        <v>467</v>
      </c>
      <c r="P462" s="548"/>
      <c r="Q462" s="548"/>
      <c r="R462" s="548"/>
      <c r="S462" s="548"/>
      <c r="T462" s="548"/>
      <c r="U462" s="548"/>
      <c r="V462" s="548"/>
      <c r="W462" s="548"/>
      <c r="X462" s="548"/>
      <c r="Y462" s="549"/>
    </row>
    <row r="463" spans="1:25" ht="15" x14ac:dyDescent="0.25">
      <c r="A463" s="898">
        <v>3</v>
      </c>
      <c r="B463" s="550" t="s">
        <v>466</v>
      </c>
      <c r="C463" s="551"/>
      <c r="D463" s="551"/>
      <c r="E463" s="551"/>
      <c r="F463" s="551"/>
      <c r="G463" s="870"/>
      <c r="H463" s="870"/>
      <c r="I463" s="870"/>
      <c r="J463" s="870"/>
      <c r="K463" s="871"/>
      <c r="L463" s="872"/>
      <c r="N463" s="903">
        <v>3</v>
      </c>
      <c r="O463" s="548" t="s">
        <v>467</v>
      </c>
      <c r="P463" s="548"/>
      <c r="Q463" s="548"/>
      <c r="R463" s="548"/>
      <c r="S463" s="548"/>
      <c r="T463" s="548"/>
      <c r="U463" s="548"/>
      <c r="V463" s="548"/>
      <c r="W463" s="548"/>
      <c r="X463" s="548"/>
      <c r="Y463" s="549"/>
    </row>
    <row r="464" spans="1:25" ht="15" x14ac:dyDescent="0.25">
      <c r="A464" s="898">
        <v>4</v>
      </c>
      <c r="B464" s="550" t="s">
        <v>466</v>
      </c>
      <c r="C464" s="551"/>
      <c r="D464" s="551"/>
      <c r="E464" s="551"/>
      <c r="F464" s="551"/>
      <c r="G464" s="870"/>
      <c r="H464" s="870"/>
      <c r="I464" s="870"/>
      <c r="J464" s="870"/>
      <c r="K464" s="871"/>
      <c r="L464" s="872"/>
      <c r="N464" s="903">
        <v>4</v>
      </c>
      <c r="O464" s="548" t="s">
        <v>467</v>
      </c>
      <c r="P464" s="548"/>
      <c r="Q464" s="548"/>
      <c r="R464" s="548"/>
      <c r="S464" s="548"/>
      <c r="T464" s="548"/>
      <c r="U464" s="548"/>
      <c r="V464" s="548"/>
      <c r="W464" s="548"/>
      <c r="X464" s="548"/>
      <c r="Y464" s="549"/>
    </row>
    <row r="465" spans="1:25" ht="15" x14ac:dyDescent="0.25">
      <c r="A465" s="898">
        <v>5</v>
      </c>
      <c r="B465" s="550" t="s">
        <v>468</v>
      </c>
      <c r="C465" s="551"/>
      <c r="D465" s="551"/>
      <c r="E465" s="551"/>
      <c r="F465" s="551"/>
      <c r="G465" s="870"/>
      <c r="H465" s="870"/>
      <c r="I465" s="870"/>
      <c r="J465" s="870"/>
      <c r="K465" s="871"/>
      <c r="L465" s="872"/>
      <c r="N465" s="903">
        <v>5</v>
      </c>
      <c r="O465" s="548" t="s">
        <v>467</v>
      </c>
      <c r="P465" s="548"/>
      <c r="Q465" s="548"/>
      <c r="R465" s="548"/>
      <c r="S465" s="548"/>
      <c r="T465" s="548"/>
      <c r="U465" s="548"/>
      <c r="V465" s="548"/>
      <c r="W465" s="548"/>
      <c r="X465" s="548"/>
      <c r="Y465" s="549"/>
    </row>
    <row r="466" spans="1:25" ht="15" x14ac:dyDescent="0.25">
      <c r="A466" s="898">
        <v>6</v>
      </c>
      <c r="B466" s="550" t="s">
        <v>469</v>
      </c>
      <c r="C466" s="551"/>
      <c r="D466" s="551"/>
      <c r="E466" s="551"/>
      <c r="F466" s="551"/>
      <c r="G466" s="870"/>
      <c r="H466" s="870"/>
      <c r="I466" s="870"/>
      <c r="J466" s="870"/>
      <c r="K466" s="871"/>
      <c r="L466" s="872"/>
      <c r="N466" s="903">
        <v>6</v>
      </c>
      <c r="O466" s="548" t="s">
        <v>467</v>
      </c>
      <c r="P466" s="548"/>
      <c r="Q466" s="548"/>
      <c r="R466" s="548"/>
      <c r="S466" s="548"/>
      <c r="T466" s="548"/>
      <c r="U466" s="548"/>
      <c r="V466" s="548"/>
      <c r="W466" s="548"/>
      <c r="X466" s="548"/>
      <c r="Y466" s="549"/>
    </row>
    <row r="467" spans="1:25" ht="15" x14ac:dyDescent="0.25">
      <c r="A467" s="898">
        <v>7</v>
      </c>
      <c r="B467" s="550" t="s">
        <v>469</v>
      </c>
      <c r="C467" s="551"/>
      <c r="D467" s="551"/>
      <c r="E467" s="551"/>
      <c r="F467" s="551"/>
      <c r="G467" s="870"/>
      <c r="H467" s="870"/>
      <c r="I467" s="870"/>
      <c r="J467" s="870"/>
      <c r="K467" s="871"/>
      <c r="L467" s="872"/>
      <c r="N467" s="903">
        <v>7</v>
      </c>
      <c r="O467" s="548" t="s">
        <v>467</v>
      </c>
      <c r="P467" s="548"/>
      <c r="Q467" s="548"/>
      <c r="R467" s="548"/>
      <c r="S467" s="548"/>
      <c r="T467" s="548"/>
      <c r="U467" s="548"/>
      <c r="V467" s="548"/>
      <c r="W467" s="548"/>
      <c r="X467" s="548"/>
      <c r="Y467" s="549"/>
    </row>
    <row r="468" spans="1:25" ht="15" x14ac:dyDescent="0.25">
      <c r="A468" s="898">
        <v>8</v>
      </c>
      <c r="B468" s="550" t="s">
        <v>469</v>
      </c>
      <c r="C468" s="551"/>
      <c r="D468" s="551"/>
      <c r="E468" s="551"/>
      <c r="F468" s="551"/>
      <c r="G468" s="870"/>
      <c r="H468" s="870"/>
      <c r="I468" s="870"/>
      <c r="J468" s="870"/>
      <c r="K468" s="871"/>
      <c r="L468" s="872"/>
      <c r="N468" s="903">
        <v>8</v>
      </c>
      <c r="O468" s="548" t="s">
        <v>467</v>
      </c>
      <c r="P468" s="548"/>
      <c r="Q468" s="548"/>
      <c r="R468" s="548"/>
      <c r="S468" s="548"/>
      <c r="T468" s="548"/>
      <c r="U468" s="548"/>
      <c r="V468" s="548"/>
      <c r="W468" s="548"/>
      <c r="X468" s="548"/>
      <c r="Y468" s="549"/>
    </row>
    <row r="469" spans="1:25" ht="15" x14ac:dyDescent="0.25">
      <c r="A469" s="898">
        <v>9</v>
      </c>
      <c r="B469" s="550" t="s">
        <v>469</v>
      </c>
      <c r="C469" s="551"/>
      <c r="D469" s="551"/>
      <c r="E469" s="551"/>
      <c r="F469" s="551"/>
      <c r="G469" s="870"/>
      <c r="H469" s="870"/>
      <c r="I469" s="870"/>
      <c r="J469" s="870"/>
      <c r="K469" s="871"/>
      <c r="L469" s="872"/>
      <c r="N469" s="903">
        <v>9</v>
      </c>
      <c r="O469" s="548" t="s">
        <v>467</v>
      </c>
      <c r="P469" s="548"/>
      <c r="Q469" s="548"/>
      <c r="R469" s="548"/>
      <c r="S469" s="548"/>
      <c r="T469" s="548"/>
      <c r="U469" s="548"/>
      <c r="V469" s="548"/>
      <c r="W469" s="548"/>
      <c r="X469" s="548"/>
      <c r="Y469" s="549"/>
    </row>
    <row r="470" spans="1:25" ht="15" x14ac:dyDescent="0.25">
      <c r="A470" s="898">
        <v>10</v>
      </c>
      <c r="B470" s="550" t="s">
        <v>470</v>
      </c>
      <c r="C470" s="551"/>
      <c r="D470" s="551"/>
      <c r="E470" s="551"/>
      <c r="F470" s="551"/>
      <c r="G470" s="870"/>
      <c r="H470" s="870"/>
      <c r="I470" s="870"/>
      <c r="J470" s="870"/>
      <c r="K470" s="871"/>
      <c r="L470" s="872"/>
      <c r="N470" s="903">
        <v>10</v>
      </c>
      <c r="O470" s="548" t="s">
        <v>467</v>
      </c>
      <c r="P470" s="548"/>
      <c r="Q470" s="548"/>
      <c r="R470" s="548"/>
      <c r="S470" s="548"/>
      <c r="T470" s="548"/>
      <c r="U470" s="548"/>
      <c r="V470" s="548"/>
      <c r="W470" s="548"/>
      <c r="X470" s="548"/>
      <c r="Y470" s="549"/>
    </row>
    <row r="471" spans="1:25" ht="15" x14ac:dyDescent="0.25">
      <c r="A471" s="898">
        <v>11</v>
      </c>
      <c r="B471" s="550" t="s">
        <v>470</v>
      </c>
      <c r="C471" s="551"/>
      <c r="D471" s="551"/>
      <c r="E471" s="551"/>
      <c r="F471" s="551"/>
      <c r="G471" s="870"/>
      <c r="H471" s="870"/>
      <c r="I471" s="870"/>
      <c r="J471" s="870"/>
      <c r="K471" s="871"/>
      <c r="L471" s="872"/>
      <c r="N471" s="903">
        <v>11</v>
      </c>
      <c r="O471" s="548" t="s">
        <v>467</v>
      </c>
      <c r="P471" s="857"/>
      <c r="Q471" s="857"/>
      <c r="R471" s="857"/>
      <c r="S471" s="857"/>
      <c r="T471" s="857"/>
      <c r="U471" s="857"/>
      <c r="V471" s="857"/>
      <c r="W471" s="857"/>
      <c r="X471" s="857"/>
      <c r="Y471" s="858"/>
    </row>
    <row r="472" spans="1:25" ht="15" x14ac:dyDescent="0.25">
      <c r="A472" s="898">
        <v>12</v>
      </c>
      <c r="B472" s="550" t="s">
        <v>470</v>
      </c>
      <c r="C472" s="551"/>
      <c r="D472" s="551"/>
      <c r="E472" s="551"/>
      <c r="F472" s="551"/>
      <c r="G472" s="870"/>
      <c r="H472" s="870"/>
      <c r="I472" s="870"/>
      <c r="J472" s="870"/>
      <c r="K472" s="871"/>
      <c r="L472" s="872"/>
      <c r="N472" s="903">
        <v>12</v>
      </c>
      <c r="O472" s="548" t="s">
        <v>467</v>
      </c>
      <c r="P472" s="857"/>
      <c r="Q472" s="857"/>
      <c r="R472" s="857"/>
      <c r="S472" s="857"/>
      <c r="T472" s="857"/>
      <c r="U472" s="857"/>
      <c r="V472" s="857"/>
      <c r="W472" s="857"/>
      <c r="X472" s="857"/>
      <c r="Y472" s="858"/>
    </row>
    <row r="473" spans="1:25" ht="15" x14ac:dyDescent="0.25">
      <c r="A473" s="898">
        <v>13</v>
      </c>
      <c r="B473" s="550" t="s">
        <v>470</v>
      </c>
      <c r="C473" s="551"/>
      <c r="D473" s="551"/>
      <c r="E473" s="551"/>
      <c r="F473" s="551"/>
      <c r="G473" s="870"/>
      <c r="H473" s="870"/>
      <c r="I473" s="870"/>
      <c r="J473" s="870"/>
      <c r="K473" s="871"/>
      <c r="L473" s="872"/>
      <c r="N473" s="903">
        <v>13</v>
      </c>
      <c r="O473" s="548" t="s">
        <v>467</v>
      </c>
      <c r="P473" s="857"/>
      <c r="Q473" s="857"/>
      <c r="R473" s="857"/>
      <c r="S473" s="857"/>
      <c r="T473" s="857"/>
      <c r="U473" s="857"/>
      <c r="V473" s="857"/>
      <c r="W473" s="857"/>
      <c r="X473" s="857"/>
      <c r="Y473" s="858"/>
    </row>
    <row r="474" spans="1:25" ht="15" x14ac:dyDescent="0.25">
      <c r="A474" s="898">
        <v>14</v>
      </c>
      <c r="B474" s="550" t="s">
        <v>471</v>
      </c>
      <c r="C474" s="551"/>
      <c r="D474" s="551"/>
      <c r="E474" s="551"/>
      <c r="F474" s="551"/>
      <c r="G474" s="870"/>
      <c r="H474" s="870"/>
      <c r="I474" s="870"/>
      <c r="J474" s="870"/>
      <c r="K474" s="871"/>
      <c r="L474" s="872"/>
      <c r="N474" s="903">
        <v>14</v>
      </c>
      <c r="O474" s="548" t="s">
        <v>472</v>
      </c>
      <c r="P474" s="857"/>
      <c r="Q474" s="857"/>
      <c r="R474" s="857"/>
      <c r="S474" s="857"/>
      <c r="T474" s="857"/>
      <c r="U474" s="857"/>
      <c r="V474" s="857"/>
      <c r="W474" s="857"/>
      <c r="X474" s="857"/>
      <c r="Y474" s="858"/>
    </row>
    <row r="475" spans="1:25" ht="15" x14ac:dyDescent="0.25">
      <c r="A475" s="898">
        <v>15</v>
      </c>
      <c r="B475" s="550" t="s">
        <v>473</v>
      </c>
      <c r="C475" s="551"/>
      <c r="D475" s="551"/>
      <c r="E475" s="551"/>
      <c r="F475" s="551"/>
      <c r="G475" s="870"/>
      <c r="H475" s="870"/>
      <c r="I475" s="870"/>
      <c r="J475" s="870"/>
      <c r="K475" s="871"/>
      <c r="L475" s="872"/>
      <c r="N475" s="903">
        <v>15</v>
      </c>
      <c r="O475" s="548" t="s">
        <v>467</v>
      </c>
      <c r="P475" s="857"/>
      <c r="Q475" s="857"/>
      <c r="R475" s="857"/>
      <c r="S475" s="857"/>
      <c r="T475" s="857"/>
      <c r="U475" s="857"/>
      <c r="V475" s="857"/>
      <c r="W475" s="857"/>
      <c r="X475" s="857"/>
      <c r="Y475" s="858"/>
    </row>
    <row r="476" spans="1:25" ht="15" x14ac:dyDescent="0.25">
      <c r="A476" s="898">
        <v>16</v>
      </c>
      <c r="B476" s="550" t="s">
        <v>473</v>
      </c>
      <c r="C476" s="551"/>
      <c r="D476" s="551"/>
      <c r="E476" s="551"/>
      <c r="F476" s="551"/>
      <c r="G476" s="870"/>
      <c r="H476" s="870"/>
      <c r="I476" s="870"/>
      <c r="J476" s="870"/>
      <c r="K476" s="871"/>
      <c r="L476" s="872"/>
      <c r="N476" s="903">
        <v>16</v>
      </c>
      <c r="O476" s="548" t="s">
        <v>467</v>
      </c>
      <c r="P476" s="857"/>
      <c r="Q476" s="857"/>
      <c r="R476" s="857"/>
      <c r="S476" s="857"/>
      <c r="T476" s="857"/>
      <c r="U476" s="857"/>
      <c r="V476" s="857"/>
      <c r="W476" s="857"/>
      <c r="X476" s="857"/>
      <c r="Y476" s="858"/>
    </row>
    <row r="477" spans="1:25" ht="15" x14ac:dyDescent="0.25">
      <c r="A477" s="898">
        <v>17</v>
      </c>
      <c r="B477" s="550" t="s">
        <v>473</v>
      </c>
      <c r="C477" s="551"/>
      <c r="D477" s="551"/>
      <c r="E477" s="551"/>
      <c r="F477" s="551"/>
      <c r="G477" s="870"/>
      <c r="H477" s="870"/>
      <c r="I477" s="870"/>
      <c r="J477" s="870"/>
      <c r="K477" s="871"/>
      <c r="L477" s="872"/>
      <c r="N477" s="903">
        <v>17</v>
      </c>
      <c r="O477" s="548" t="s">
        <v>467</v>
      </c>
      <c r="P477" s="857"/>
      <c r="Q477" s="857"/>
      <c r="R477" s="857"/>
      <c r="S477" s="857"/>
      <c r="T477" s="857"/>
      <c r="U477" s="857"/>
      <c r="V477" s="857"/>
      <c r="W477" s="857"/>
      <c r="X477" s="857"/>
      <c r="Y477" s="858"/>
    </row>
    <row r="478" spans="1:25" ht="15" x14ac:dyDescent="0.25">
      <c r="A478" s="899">
        <v>18</v>
      </c>
      <c r="B478" s="552" t="s">
        <v>473</v>
      </c>
      <c r="C478" s="553"/>
      <c r="D478" s="553"/>
      <c r="E478" s="553"/>
      <c r="F478" s="553"/>
      <c r="G478" s="873"/>
      <c r="H478" s="873"/>
      <c r="I478" s="873"/>
      <c r="J478" s="873"/>
      <c r="K478" s="874"/>
      <c r="L478" s="875"/>
      <c r="N478" s="903">
        <v>18</v>
      </c>
      <c r="O478" s="548" t="s">
        <v>467</v>
      </c>
      <c r="P478" s="857"/>
      <c r="Q478" s="857"/>
      <c r="R478" s="857"/>
      <c r="S478" s="857"/>
      <c r="T478" s="857"/>
      <c r="U478" s="857"/>
      <c r="V478" s="857"/>
      <c r="W478" s="857"/>
      <c r="X478" s="857"/>
      <c r="Y478" s="858"/>
    </row>
    <row r="479" spans="1:25" ht="15" x14ac:dyDescent="0.25">
      <c r="A479" s="900">
        <v>19</v>
      </c>
      <c r="B479" s="550" t="s">
        <v>474</v>
      </c>
      <c r="C479" s="551"/>
      <c r="D479" s="551"/>
      <c r="E479" s="551"/>
      <c r="F479" s="551"/>
      <c r="G479" s="870"/>
      <c r="H479" s="870"/>
      <c r="I479" s="870"/>
      <c r="J479" s="870"/>
      <c r="K479" s="871"/>
      <c r="L479" s="876"/>
      <c r="N479" s="903">
        <v>19</v>
      </c>
      <c r="O479" s="548" t="s">
        <v>467</v>
      </c>
      <c r="P479" s="859"/>
      <c r="Q479" s="859"/>
      <c r="R479" s="859"/>
      <c r="S479" s="859"/>
      <c r="T479" s="859"/>
      <c r="U479" s="859"/>
      <c r="V479" s="859"/>
      <c r="W479" s="859"/>
      <c r="X479" s="859"/>
      <c r="Y479" s="860"/>
    </row>
    <row r="480" spans="1:25" ht="15" x14ac:dyDescent="0.25">
      <c r="A480" s="900">
        <v>20</v>
      </c>
      <c r="B480" s="550" t="s">
        <v>474</v>
      </c>
      <c r="C480" s="551"/>
      <c r="D480" s="551"/>
      <c r="E480" s="551"/>
      <c r="F480" s="551"/>
      <c r="G480" s="870"/>
      <c r="H480" s="870"/>
      <c r="I480" s="870"/>
      <c r="J480" s="870"/>
      <c r="K480" s="871"/>
      <c r="L480" s="876"/>
      <c r="N480" s="903">
        <v>20</v>
      </c>
      <c r="O480" s="548" t="s">
        <v>467</v>
      </c>
      <c r="P480" s="859"/>
      <c r="Q480" s="859"/>
      <c r="R480" s="859"/>
      <c r="S480" s="859"/>
      <c r="T480" s="859"/>
      <c r="U480" s="859"/>
      <c r="V480" s="859"/>
      <c r="W480" s="859"/>
      <c r="X480" s="859"/>
      <c r="Y480" s="860"/>
    </row>
    <row r="481" spans="1:25" ht="15" x14ac:dyDescent="0.25">
      <c r="A481" s="900">
        <v>21</v>
      </c>
      <c r="B481" s="550" t="s">
        <v>474</v>
      </c>
      <c r="C481" s="551"/>
      <c r="D481" s="551"/>
      <c r="E481" s="551"/>
      <c r="F481" s="551"/>
      <c r="G481" s="870"/>
      <c r="H481" s="870"/>
      <c r="I481" s="870"/>
      <c r="J481" s="870"/>
      <c r="K481" s="871"/>
      <c r="L481" s="876"/>
      <c r="N481" s="903">
        <v>21</v>
      </c>
      <c r="O481" s="548" t="s">
        <v>467</v>
      </c>
      <c r="P481" s="859"/>
      <c r="Q481" s="859"/>
      <c r="R481" s="859"/>
      <c r="S481" s="859"/>
      <c r="T481" s="859"/>
      <c r="U481" s="859"/>
      <c r="V481" s="859"/>
      <c r="W481" s="859"/>
      <c r="X481" s="859"/>
      <c r="Y481" s="860"/>
    </row>
    <row r="482" spans="1:25" ht="15" x14ac:dyDescent="0.25">
      <c r="A482" s="900">
        <v>22</v>
      </c>
      <c r="B482" s="550" t="s">
        <v>474</v>
      </c>
      <c r="C482" s="551"/>
      <c r="D482" s="551"/>
      <c r="E482" s="551"/>
      <c r="F482" s="551"/>
      <c r="G482" s="870"/>
      <c r="H482" s="870"/>
      <c r="I482" s="870"/>
      <c r="J482" s="870"/>
      <c r="K482" s="871"/>
      <c r="L482" s="876"/>
      <c r="N482" s="903">
        <v>22</v>
      </c>
      <c r="O482" s="548" t="s">
        <v>467</v>
      </c>
      <c r="P482" s="859"/>
      <c r="Q482" s="859"/>
      <c r="R482" s="859"/>
      <c r="S482" s="859"/>
      <c r="T482" s="859"/>
      <c r="U482" s="859"/>
      <c r="V482" s="859"/>
      <c r="W482" s="859"/>
      <c r="X482" s="859"/>
      <c r="Y482" s="860"/>
    </row>
    <row r="483" spans="1:25" ht="15" x14ac:dyDescent="0.25">
      <c r="A483" s="900">
        <v>23</v>
      </c>
      <c r="B483" s="550" t="s">
        <v>475</v>
      </c>
      <c r="C483" s="551"/>
      <c r="D483" s="551"/>
      <c r="E483" s="551"/>
      <c r="F483" s="551"/>
      <c r="G483" s="870"/>
      <c r="H483" s="870"/>
      <c r="I483" s="870"/>
      <c r="J483" s="870"/>
      <c r="K483" s="871"/>
      <c r="L483" s="876"/>
      <c r="N483" s="903">
        <v>23</v>
      </c>
      <c r="O483" s="548" t="s">
        <v>467</v>
      </c>
      <c r="P483" s="859"/>
      <c r="Q483" s="859"/>
      <c r="R483" s="859"/>
      <c r="S483" s="859"/>
      <c r="T483" s="859"/>
      <c r="U483" s="859"/>
      <c r="V483" s="859"/>
      <c r="W483" s="859"/>
      <c r="X483" s="859"/>
      <c r="Y483" s="860"/>
    </row>
    <row r="484" spans="1:25" ht="15" x14ac:dyDescent="0.25">
      <c r="A484" s="900">
        <v>24</v>
      </c>
      <c r="B484" s="550" t="s">
        <v>475</v>
      </c>
      <c r="C484" s="551"/>
      <c r="D484" s="551"/>
      <c r="E484" s="551"/>
      <c r="F484" s="551"/>
      <c r="G484" s="870"/>
      <c r="H484" s="870"/>
      <c r="I484" s="870"/>
      <c r="J484" s="870"/>
      <c r="K484" s="871"/>
      <c r="L484" s="876"/>
      <c r="N484" s="903">
        <v>24</v>
      </c>
      <c r="O484" s="548" t="s">
        <v>467</v>
      </c>
      <c r="P484" s="859"/>
      <c r="Q484" s="859"/>
      <c r="R484" s="859"/>
      <c r="S484" s="859"/>
      <c r="T484" s="859"/>
      <c r="U484" s="859"/>
      <c r="V484" s="859"/>
      <c r="W484" s="859"/>
      <c r="X484" s="859"/>
      <c r="Y484" s="860"/>
    </row>
    <row r="485" spans="1:25" ht="15" x14ac:dyDescent="0.25">
      <c r="A485" s="900">
        <v>25</v>
      </c>
      <c r="B485" s="550" t="s">
        <v>475</v>
      </c>
      <c r="C485" s="551"/>
      <c r="D485" s="551"/>
      <c r="E485" s="551"/>
      <c r="F485" s="551"/>
      <c r="G485" s="870"/>
      <c r="H485" s="870"/>
      <c r="I485" s="870"/>
      <c r="J485" s="870"/>
      <c r="K485" s="871"/>
      <c r="L485" s="876"/>
      <c r="N485" s="903">
        <v>25</v>
      </c>
      <c r="O485" s="548" t="s">
        <v>467</v>
      </c>
      <c r="P485" s="859"/>
      <c r="Q485" s="859"/>
      <c r="R485" s="859"/>
      <c r="S485" s="859"/>
      <c r="T485" s="859"/>
      <c r="U485" s="859"/>
      <c r="V485" s="859"/>
      <c r="W485" s="859"/>
      <c r="X485" s="859"/>
      <c r="Y485" s="860"/>
    </row>
    <row r="486" spans="1:25" ht="15" x14ac:dyDescent="0.25">
      <c r="A486" s="900">
        <v>26</v>
      </c>
      <c r="B486" s="550" t="s">
        <v>475</v>
      </c>
      <c r="C486" s="551"/>
      <c r="D486" s="551"/>
      <c r="E486" s="551"/>
      <c r="F486" s="551"/>
      <c r="G486" s="870"/>
      <c r="H486" s="870"/>
      <c r="I486" s="870"/>
      <c r="J486" s="870"/>
      <c r="K486" s="871"/>
      <c r="L486" s="876"/>
      <c r="N486" s="903">
        <v>26</v>
      </c>
      <c r="O486" s="548" t="s">
        <v>467</v>
      </c>
      <c r="P486" s="859"/>
      <c r="Q486" s="859"/>
      <c r="R486" s="859"/>
      <c r="S486" s="859"/>
      <c r="T486" s="859"/>
      <c r="U486" s="859"/>
      <c r="V486" s="859"/>
      <c r="W486" s="859"/>
      <c r="X486" s="859"/>
      <c r="Y486" s="860"/>
    </row>
    <row r="487" spans="1:25" ht="15" x14ac:dyDescent="0.25">
      <c r="A487" s="900">
        <v>27</v>
      </c>
      <c r="B487" s="550" t="s">
        <v>476</v>
      </c>
      <c r="C487" s="551"/>
      <c r="D487" s="551"/>
      <c r="E487" s="551"/>
      <c r="F487" s="551"/>
      <c r="G487" s="870"/>
      <c r="H487" s="870"/>
      <c r="I487" s="870"/>
      <c r="J487" s="870"/>
      <c r="K487" s="871"/>
      <c r="L487" s="876"/>
      <c r="N487" s="903">
        <v>27</v>
      </c>
      <c r="O487" s="548" t="s">
        <v>467</v>
      </c>
      <c r="P487" s="859"/>
      <c r="Q487" s="859"/>
      <c r="R487" s="859"/>
      <c r="S487" s="859"/>
      <c r="T487" s="859"/>
      <c r="U487" s="859"/>
      <c r="V487" s="859"/>
      <c r="W487" s="859"/>
      <c r="X487" s="859"/>
      <c r="Y487" s="860"/>
    </row>
    <row r="488" spans="1:25" ht="15" x14ac:dyDescent="0.25">
      <c r="A488" s="900">
        <v>28</v>
      </c>
      <c r="B488" s="550" t="s">
        <v>476</v>
      </c>
      <c r="C488" s="551"/>
      <c r="D488" s="551"/>
      <c r="E488" s="551"/>
      <c r="F488" s="551"/>
      <c r="G488" s="870"/>
      <c r="H488" s="870"/>
      <c r="I488" s="870"/>
      <c r="J488" s="870"/>
      <c r="K488" s="871"/>
      <c r="L488" s="876"/>
      <c r="N488" s="903">
        <v>28</v>
      </c>
      <c r="O488" s="548" t="s">
        <v>467</v>
      </c>
      <c r="P488" s="859"/>
      <c r="Q488" s="859"/>
      <c r="R488" s="859"/>
      <c r="S488" s="859"/>
      <c r="T488" s="859"/>
      <c r="U488" s="859"/>
      <c r="V488" s="859"/>
      <c r="W488" s="859"/>
      <c r="X488" s="859"/>
      <c r="Y488" s="860"/>
    </row>
    <row r="489" spans="1:25" ht="15" x14ac:dyDescent="0.25">
      <c r="A489" s="900">
        <v>29</v>
      </c>
      <c r="B489" s="550" t="s">
        <v>476</v>
      </c>
      <c r="C489" s="551"/>
      <c r="D489" s="551"/>
      <c r="E489" s="551"/>
      <c r="F489" s="551"/>
      <c r="G489" s="870"/>
      <c r="H489" s="870"/>
      <c r="I489" s="870"/>
      <c r="J489" s="870"/>
      <c r="K489" s="871"/>
      <c r="L489" s="876"/>
      <c r="N489" s="903">
        <v>29</v>
      </c>
      <c r="O489" s="548" t="s">
        <v>467</v>
      </c>
      <c r="P489" s="859"/>
      <c r="Q489" s="859"/>
      <c r="R489" s="859"/>
      <c r="S489" s="859"/>
      <c r="T489" s="859"/>
      <c r="U489" s="859"/>
      <c r="V489" s="859"/>
      <c r="W489" s="859"/>
      <c r="X489" s="859"/>
      <c r="Y489" s="860"/>
    </row>
    <row r="490" spans="1:25" ht="15" x14ac:dyDescent="0.25">
      <c r="A490" s="900">
        <v>30</v>
      </c>
      <c r="B490" s="550" t="s">
        <v>476</v>
      </c>
      <c r="C490" s="551"/>
      <c r="D490" s="551"/>
      <c r="E490" s="551"/>
      <c r="F490" s="551"/>
      <c r="G490" s="870"/>
      <c r="H490" s="870"/>
      <c r="I490" s="870"/>
      <c r="J490" s="870"/>
      <c r="K490" s="871"/>
      <c r="L490" s="876"/>
      <c r="N490" s="903">
        <v>30</v>
      </c>
      <c r="O490" s="548" t="s">
        <v>467</v>
      </c>
      <c r="P490" s="859"/>
      <c r="Q490" s="859"/>
      <c r="R490" s="859"/>
      <c r="S490" s="859"/>
      <c r="T490" s="859"/>
      <c r="U490" s="859"/>
      <c r="V490" s="859"/>
      <c r="W490" s="859"/>
      <c r="X490" s="859"/>
      <c r="Y490" s="860"/>
    </row>
    <row r="491" spans="1:25" ht="15" x14ac:dyDescent="0.25">
      <c r="A491" s="900">
        <v>31</v>
      </c>
      <c r="B491" s="550" t="s">
        <v>559</v>
      </c>
      <c r="C491" s="551"/>
      <c r="D491" s="551"/>
      <c r="E491" s="551"/>
      <c r="F491" s="551"/>
      <c r="G491" s="870"/>
      <c r="H491" s="870"/>
      <c r="I491" s="870"/>
      <c r="J491" s="870"/>
      <c r="K491" s="871"/>
      <c r="L491" s="876"/>
      <c r="N491" s="903">
        <v>31</v>
      </c>
      <c r="O491" s="548" t="s">
        <v>467</v>
      </c>
      <c r="P491" s="859"/>
      <c r="Q491" s="859"/>
      <c r="R491" s="859"/>
      <c r="S491" s="859"/>
      <c r="T491" s="859"/>
      <c r="U491" s="859"/>
      <c r="V491" s="859"/>
      <c r="W491" s="859"/>
      <c r="X491" s="859"/>
      <c r="Y491" s="860"/>
    </row>
    <row r="492" spans="1:25" ht="15" x14ac:dyDescent="0.25">
      <c r="A492" s="900">
        <v>32</v>
      </c>
      <c r="B492" s="550" t="s">
        <v>559</v>
      </c>
      <c r="C492" s="551"/>
      <c r="D492" s="551"/>
      <c r="E492" s="551"/>
      <c r="F492" s="551"/>
      <c r="G492" s="870"/>
      <c r="H492" s="870"/>
      <c r="I492" s="870"/>
      <c r="J492" s="870"/>
      <c r="K492" s="871"/>
      <c r="L492" s="876"/>
      <c r="N492" s="903">
        <v>32</v>
      </c>
      <c r="O492" s="548" t="s">
        <v>467</v>
      </c>
      <c r="P492" s="859"/>
      <c r="Q492" s="859"/>
      <c r="R492" s="859"/>
      <c r="S492" s="859"/>
      <c r="T492" s="859"/>
      <c r="U492" s="859"/>
      <c r="V492" s="859"/>
      <c r="W492" s="859"/>
      <c r="X492" s="859"/>
      <c r="Y492" s="860"/>
    </row>
    <row r="493" spans="1:25" ht="15" x14ac:dyDescent="0.25">
      <c r="A493" s="900">
        <v>33</v>
      </c>
      <c r="B493" s="550" t="s">
        <v>559</v>
      </c>
      <c r="C493" s="551"/>
      <c r="D493" s="551"/>
      <c r="E493" s="551"/>
      <c r="F493" s="551"/>
      <c r="G493" s="870"/>
      <c r="H493" s="870"/>
      <c r="I493" s="870"/>
      <c r="J493" s="870"/>
      <c r="K493" s="871"/>
      <c r="L493" s="876"/>
      <c r="N493" s="903">
        <v>33</v>
      </c>
      <c r="O493" s="548" t="s">
        <v>467</v>
      </c>
      <c r="P493" s="859"/>
      <c r="Q493" s="859"/>
      <c r="R493" s="859"/>
      <c r="S493" s="859"/>
      <c r="T493" s="859"/>
      <c r="U493" s="859"/>
      <c r="V493" s="859"/>
      <c r="W493" s="859"/>
      <c r="X493" s="859"/>
      <c r="Y493" s="860"/>
    </row>
    <row r="494" spans="1:25" ht="15" x14ac:dyDescent="0.25">
      <c r="A494" s="900">
        <v>34</v>
      </c>
      <c r="B494" s="550" t="s">
        <v>559</v>
      </c>
      <c r="C494" s="551"/>
      <c r="D494" s="551"/>
      <c r="E494" s="551"/>
      <c r="F494" s="551"/>
      <c r="G494" s="870"/>
      <c r="H494" s="870"/>
      <c r="I494" s="870"/>
      <c r="J494" s="870"/>
      <c r="K494" s="871"/>
      <c r="L494" s="876"/>
      <c r="N494" s="903">
        <v>34</v>
      </c>
      <c r="O494" s="548" t="s">
        <v>467</v>
      </c>
      <c r="P494" s="859"/>
      <c r="Q494" s="859"/>
      <c r="R494" s="859"/>
      <c r="S494" s="859"/>
      <c r="T494" s="859"/>
      <c r="U494" s="859"/>
      <c r="V494" s="859"/>
      <c r="W494" s="859"/>
      <c r="X494" s="859"/>
      <c r="Y494" s="860"/>
    </row>
    <row r="495" spans="1:25" ht="13.5" thickBot="1" x14ac:dyDescent="0.25">
      <c r="N495" s="861" t="str">
        <f>VLOOKUP(N460,N461:Y494,2,FALSE)</f>
        <v>Hasil pengukuran flowrate tertelusur ke Satuan Internasional ( SI ) melalui PT. Kaliman (LK-032-IDN)</v>
      </c>
      <c r="O495" s="862"/>
      <c r="P495" s="862"/>
      <c r="Q495" s="862"/>
      <c r="R495" s="862"/>
      <c r="S495" s="862"/>
      <c r="T495" s="862"/>
      <c r="U495" s="862"/>
      <c r="V495" s="862"/>
      <c r="W495" s="862"/>
      <c r="X495" s="862"/>
      <c r="Y495" s="863"/>
    </row>
    <row r="496" spans="1:25" ht="15.75" thickBot="1" x14ac:dyDescent="0.3">
      <c r="A496" s="554"/>
      <c r="F496" s="555" t="s">
        <v>477</v>
      </c>
    </row>
    <row r="497" spans="1:25" x14ac:dyDescent="0.2">
      <c r="A497" s="556"/>
      <c r="F497" s="555" t="s">
        <v>226</v>
      </c>
      <c r="N497" s="1448">
        <f>A458</f>
        <v>25</v>
      </c>
      <c r="O497" s="1449"/>
      <c r="P497" s="1449"/>
      <c r="Q497" s="1449"/>
      <c r="R497" s="1449"/>
      <c r="S497" s="1449"/>
      <c r="T497" s="1449"/>
      <c r="U497" s="1449"/>
      <c r="V497" s="1449"/>
      <c r="W497" s="1449"/>
      <c r="X497" s="1449"/>
      <c r="Y497" s="1450"/>
    </row>
    <row r="498" spans="1:25" x14ac:dyDescent="0.2">
      <c r="F498" s="555" t="s">
        <v>478</v>
      </c>
      <c r="N498" s="903">
        <v>1</v>
      </c>
      <c r="O498" s="548" t="s">
        <v>479</v>
      </c>
      <c r="P498" s="548"/>
      <c r="Q498" s="548"/>
      <c r="R498" s="548"/>
      <c r="S498" s="548"/>
      <c r="T498" s="548"/>
      <c r="U498" s="548"/>
      <c r="V498" s="548"/>
      <c r="W498" s="548"/>
      <c r="X498" s="548"/>
      <c r="Y498" s="549"/>
    </row>
    <row r="499" spans="1:25" x14ac:dyDescent="0.2">
      <c r="A499" s="529"/>
      <c r="F499" s="555" t="s">
        <v>158</v>
      </c>
      <c r="N499" s="903">
        <v>2</v>
      </c>
      <c r="O499" s="548" t="s">
        <v>479</v>
      </c>
      <c r="P499" s="548"/>
      <c r="Q499" s="548"/>
      <c r="R499" s="548"/>
      <c r="S499" s="548"/>
      <c r="T499" s="548"/>
      <c r="U499" s="548"/>
      <c r="V499" s="548"/>
      <c r="W499" s="548"/>
      <c r="X499" s="548"/>
      <c r="Y499" s="549"/>
    </row>
    <row r="500" spans="1:25" x14ac:dyDescent="0.2">
      <c r="A500" s="528"/>
      <c r="F500" s="555" t="s">
        <v>480</v>
      </c>
      <c r="N500" s="903">
        <v>3</v>
      </c>
      <c r="O500" s="548" t="s">
        <v>479</v>
      </c>
      <c r="P500" s="548"/>
      <c r="Q500" s="548"/>
      <c r="R500" s="548"/>
      <c r="S500" s="548"/>
      <c r="T500" s="548"/>
      <c r="U500" s="548"/>
      <c r="V500" s="548"/>
      <c r="W500" s="548"/>
      <c r="X500" s="548"/>
      <c r="Y500" s="549"/>
    </row>
    <row r="501" spans="1:25" x14ac:dyDescent="0.2">
      <c r="A501" s="528"/>
      <c r="F501" s="555" t="s">
        <v>481</v>
      </c>
      <c r="N501" s="903">
        <v>4</v>
      </c>
      <c r="O501" s="548" t="s">
        <v>479</v>
      </c>
      <c r="P501" s="548"/>
      <c r="Q501" s="548"/>
      <c r="R501" s="548"/>
      <c r="S501" s="548"/>
      <c r="T501" s="548"/>
      <c r="U501" s="548"/>
      <c r="V501" s="548"/>
      <c r="W501" s="548"/>
      <c r="X501" s="548"/>
      <c r="Y501" s="549"/>
    </row>
    <row r="502" spans="1:25" x14ac:dyDescent="0.2">
      <c r="A502" s="528"/>
      <c r="F502" s="555" t="s">
        <v>482</v>
      </c>
      <c r="N502" s="903">
        <v>5</v>
      </c>
      <c r="O502" s="548" t="s">
        <v>479</v>
      </c>
      <c r="P502" s="548"/>
      <c r="Q502" s="548"/>
      <c r="R502" s="548"/>
      <c r="S502" s="548"/>
      <c r="T502" s="548"/>
      <c r="U502" s="548"/>
      <c r="V502" s="548"/>
      <c r="W502" s="548"/>
      <c r="X502" s="548"/>
      <c r="Y502" s="549"/>
    </row>
    <row r="503" spans="1:25" x14ac:dyDescent="0.2">
      <c r="A503" s="528"/>
      <c r="F503" s="555" t="s">
        <v>483</v>
      </c>
      <c r="N503" s="903">
        <v>6</v>
      </c>
      <c r="O503" s="548" t="s">
        <v>479</v>
      </c>
      <c r="P503" s="548"/>
      <c r="Q503" s="548"/>
      <c r="R503" s="548"/>
      <c r="S503" s="548"/>
      <c r="T503" s="548"/>
      <c r="U503" s="548"/>
      <c r="V503" s="548"/>
      <c r="W503" s="548"/>
      <c r="X503" s="548"/>
      <c r="Y503" s="549"/>
    </row>
    <row r="504" spans="1:25" x14ac:dyDescent="0.2">
      <c r="A504" s="528"/>
      <c r="F504" s="555" t="s">
        <v>484</v>
      </c>
      <c r="N504" s="903">
        <v>7</v>
      </c>
      <c r="O504" s="548" t="s">
        <v>479</v>
      </c>
      <c r="P504" s="548"/>
      <c r="Q504" s="548"/>
      <c r="R504" s="548"/>
      <c r="S504" s="548"/>
      <c r="T504" s="548"/>
      <c r="U504" s="548"/>
      <c r="V504" s="548"/>
      <c r="W504" s="548"/>
      <c r="X504" s="548"/>
      <c r="Y504" s="549"/>
    </row>
    <row r="505" spans="1:25" x14ac:dyDescent="0.2">
      <c r="A505" s="528"/>
      <c r="F505" s="555" t="s">
        <v>485</v>
      </c>
      <c r="N505" s="903">
        <v>8</v>
      </c>
      <c r="O505" s="548" t="s">
        <v>479</v>
      </c>
      <c r="P505" s="548"/>
      <c r="Q505" s="548"/>
      <c r="R505" s="548"/>
      <c r="S505" s="548"/>
      <c r="T505" s="548"/>
      <c r="U505" s="548"/>
      <c r="V505" s="548"/>
      <c r="W505" s="548"/>
      <c r="X505" s="548"/>
      <c r="Y505" s="549"/>
    </row>
    <row r="506" spans="1:25" x14ac:dyDescent="0.2">
      <c r="A506" s="528"/>
      <c r="F506" s="555" t="s">
        <v>486</v>
      </c>
      <c r="N506" s="903">
        <v>9</v>
      </c>
      <c r="O506" s="548" t="s">
        <v>479</v>
      </c>
      <c r="P506" s="548"/>
      <c r="Q506" s="548"/>
      <c r="R506" s="548"/>
      <c r="S506" s="548"/>
      <c r="T506" s="548"/>
      <c r="U506" s="548"/>
      <c r="V506" s="548"/>
      <c r="W506" s="548"/>
      <c r="X506" s="548"/>
      <c r="Y506" s="549"/>
    </row>
    <row r="507" spans="1:25" x14ac:dyDescent="0.2">
      <c r="A507" s="529" t="s">
        <v>345</v>
      </c>
      <c r="F507" s="555" t="s">
        <v>487</v>
      </c>
      <c r="N507" s="903">
        <v>10</v>
      </c>
      <c r="O507" s="548" t="s">
        <v>479</v>
      </c>
      <c r="P507" s="548"/>
      <c r="Q507" s="548"/>
      <c r="R507" s="548"/>
      <c r="S507" s="548"/>
      <c r="T507" s="548"/>
      <c r="U507" s="548"/>
      <c r="V507" s="548"/>
      <c r="W507" s="548"/>
      <c r="X507" s="548"/>
      <c r="Y507" s="549"/>
    </row>
    <row r="508" spans="1:25" x14ac:dyDescent="0.2">
      <c r="A508" s="529"/>
      <c r="F508" s="555" t="s">
        <v>488</v>
      </c>
      <c r="N508" s="903">
        <v>11</v>
      </c>
      <c r="O508" s="548" t="s">
        <v>479</v>
      </c>
      <c r="P508" s="857"/>
      <c r="Q508" s="857"/>
      <c r="R508" s="857"/>
      <c r="S508" s="857"/>
      <c r="T508" s="857"/>
      <c r="U508" s="857"/>
      <c r="V508" s="857"/>
      <c r="W508" s="857"/>
      <c r="X508" s="857"/>
      <c r="Y508" s="858"/>
    </row>
    <row r="509" spans="1:25" x14ac:dyDescent="0.2">
      <c r="A509" s="555" t="s">
        <v>136</v>
      </c>
      <c r="F509" s="555" t="s">
        <v>489</v>
      </c>
      <c r="N509" s="903">
        <v>12</v>
      </c>
      <c r="O509" s="548" t="s">
        <v>479</v>
      </c>
      <c r="P509" s="857"/>
      <c r="Q509" s="857"/>
      <c r="R509" s="857"/>
      <c r="S509" s="857"/>
      <c r="T509" s="857"/>
      <c r="U509" s="857"/>
      <c r="V509" s="857"/>
      <c r="W509" s="857"/>
      <c r="X509" s="857"/>
      <c r="Y509" s="858"/>
    </row>
    <row r="510" spans="1:25" x14ac:dyDescent="0.2">
      <c r="A510" s="555" t="s">
        <v>490</v>
      </c>
      <c r="F510" s="555" t="s">
        <v>491</v>
      </c>
      <c r="N510" s="903">
        <v>13</v>
      </c>
      <c r="O510" s="548" t="s">
        <v>479</v>
      </c>
      <c r="P510" s="857"/>
      <c r="Q510" s="857"/>
      <c r="R510" s="857"/>
      <c r="S510" s="857"/>
      <c r="T510" s="857"/>
      <c r="U510" s="857"/>
      <c r="V510" s="857"/>
      <c r="W510" s="857"/>
      <c r="X510" s="857"/>
      <c r="Y510" s="858"/>
    </row>
    <row r="511" spans="1:25" x14ac:dyDescent="0.2">
      <c r="F511" s="555" t="s">
        <v>492</v>
      </c>
      <c r="N511" s="903">
        <v>14</v>
      </c>
      <c r="O511" s="548" t="s">
        <v>493</v>
      </c>
      <c r="P511" s="857"/>
      <c r="Q511" s="857"/>
      <c r="R511" s="857"/>
      <c r="S511" s="857"/>
      <c r="T511" s="857"/>
      <c r="U511" s="857"/>
      <c r="V511" s="857"/>
      <c r="W511" s="857"/>
      <c r="X511" s="857"/>
      <c r="Y511" s="858"/>
    </row>
    <row r="512" spans="1:25" x14ac:dyDescent="0.2">
      <c r="A512" s="555" t="s">
        <v>136</v>
      </c>
      <c r="F512" s="555" t="s">
        <v>494</v>
      </c>
      <c r="N512" s="903">
        <v>15</v>
      </c>
      <c r="O512" s="548" t="s">
        <v>479</v>
      </c>
      <c r="P512" s="857"/>
      <c r="Q512" s="857"/>
      <c r="R512" s="857"/>
      <c r="S512" s="857"/>
      <c r="T512" s="857"/>
      <c r="U512" s="857"/>
      <c r="V512" s="857"/>
      <c r="W512" s="857"/>
      <c r="X512" s="857"/>
      <c r="Y512" s="858"/>
    </row>
    <row r="513" spans="1:25" x14ac:dyDescent="0.2">
      <c r="A513" s="555" t="s">
        <v>490</v>
      </c>
      <c r="F513" s="555" t="s">
        <v>495</v>
      </c>
      <c r="N513" s="903">
        <v>16</v>
      </c>
      <c r="O513" s="548" t="s">
        <v>479</v>
      </c>
      <c r="P513" s="857"/>
      <c r="Q513" s="857"/>
      <c r="R513" s="857"/>
      <c r="S513" s="857"/>
      <c r="T513" s="857"/>
      <c r="U513" s="857"/>
      <c r="V513" s="857"/>
      <c r="W513" s="857"/>
      <c r="X513" s="857"/>
      <c r="Y513" s="858"/>
    </row>
    <row r="514" spans="1:25" x14ac:dyDescent="0.2">
      <c r="F514" s="555" t="s">
        <v>496</v>
      </c>
      <c r="N514" s="903">
        <v>17</v>
      </c>
      <c r="O514" s="548" t="s">
        <v>479</v>
      </c>
      <c r="P514" s="857"/>
      <c r="Q514" s="857"/>
      <c r="R514" s="857"/>
      <c r="S514" s="857"/>
      <c r="T514" s="857"/>
      <c r="U514" s="857"/>
      <c r="V514" s="857"/>
      <c r="W514" s="857"/>
      <c r="X514" s="857"/>
      <c r="Y514" s="858"/>
    </row>
    <row r="515" spans="1:25" x14ac:dyDescent="0.2">
      <c r="A515" s="555" t="s">
        <v>152</v>
      </c>
      <c r="F515" s="555" t="s">
        <v>497</v>
      </c>
      <c r="N515" s="903">
        <v>18</v>
      </c>
      <c r="O515" s="548" t="s">
        <v>479</v>
      </c>
      <c r="P515" s="857"/>
      <c r="Q515" s="857"/>
      <c r="R515" s="857"/>
      <c r="S515" s="857"/>
      <c r="T515" s="857"/>
      <c r="U515" s="857"/>
      <c r="V515" s="857"/>
      <c r="W515" s="857"/>
      <c r="X515" s="857"/>
      <c r="Y515" s="858"/>
    </row>
    <row r="516" spans="1:25" x14ac:dyDescent="0.2">
      <c r="A516" s="555" t="s">
        <v>498</v>
      </c>
      <c r="F516" s="555" t="s">
        <v>499</v>
      </c>
      <c r="N516" s="904">
        <v>19</v>
      </c>
      <c r="O516" s="557" t="s">
        <v>479</v>
      </c>
      <c r="P516" s="570"/>
      <c r="Q516" s="570"/>
      <c r="R516" s="570"/>
      <c r="S516" s="570"/>
      <c r="T516" s="570"/>
      <c r="U516" s="570"/>
      <c r="V516" s="570"/>
      <c r="W516" s="570"/>
      <c r="X516" s="570"/>
      <c r="Y516" s="570"/>
    </row>
    <row r="517" spans="1:25" x14ac:dyDescent="0.2">
      <c r="A517" s="555" t="s">
        <v>500</v>
      </c>
      <c r="F517" s="555" t="s">
        <v>501</v>
      </c>
      <c r="N517" s="904">
        <v>20</v>
      </c>
      <c r="O517" s="557" t="s">
        <v>479</v>
      </c>
      <c r="P517" s="570"/>
      <c r="Q517" s="570"/>
      <c r="R517" s="570"/>
      <c r="S517" s="570"/>
      <c r="T517" s="570"/>
      <c r="U517" s="570"/>
      <c r="V517" s="570"/>
      <c r="W517" s="570"/>
      <c r="X517" s="570"/>
      <c r="Y517" s="570"/>
    </row>
    <row r="518" spans="1:25" x14ac:dyDescent="0.2">
      <c r="A518" s="555" t="s">
        <v>502</v>
      </c>
      <c r="F518" s="555" t="s">
        <v>503</v>
      </c>
      <c r="N518" s="904">
        <v>21</v>
      </c>
      <c r="O518" s="557" t="s">
        <v>479</v>
      </c>
      <c r="P518" s="570"/>
      <c r="Q518" s="570"/>
      <c r="R518" s="570"/>
      <c r="S518" s="570"/>
      <c r="T518" s="570"/>
      <c r="U518" s="570"/>
      <c r="V518" s="570"/>
      <c r="W518" s="570"/>
      <c r="X518" s="570"/>
      <c r="Y518" s="570"/>
    </row>
    <row r="519" spans="1:25" x14ac:dyDescent="0.2">
      <c r="A519" s="555" t="s">
        <v>504</v>
      </c>
      <c r="F519" s="555" t="s">
        <v>505</v>
      </c>
      <c r="N519" s="904">
        <v>22</v>
      </c>
      <c r="O519" s="557" t="s">
        <v>479</v>
      </c>
      <c r="P519" s="570"/>
      <c r="Q519" s="570"/>
      <c r="R519" s="570"/>
      <c r="S519" s="570"/>
      <c r="T519" s="570"/>
      <c r="U519" s="570"/>
      <c r="V519" s="570"/>
      <c r="W519" s="570"/>
      <c r="X519" s="570"/>
      <c r="Y519" s="570"/>
    </row>
    <row r="520" spans="1:25" x14ac:dyDescent="0.2">
      <c r="A520" s="555" t="s">
        <v>506</v>
      </c>
      <c r="F520" s="555" t="s">
        <v>507</v>
      </c>
      <c r="N520" s="904">
        <v>23</v>
      </c>
      <c r="O520" s="557" t="s">
        <v>479</v>
      </c>
      <c r="P520" s="570"/>
      <c r="Q520" s="570"/>
      <c r="R520" s="570"/>
      <c r="S520" s="570"/>
      <c r="T520" s="570"/>
      <c r="U520" s="570"/>
      <c r="V520" s="570"/>
      <c r="W520" s="570"/>
      <c r="X520" s="570"/>
      <c r="Y520" s="570"/>
    </row>
    <row r="521" spans="1:25" x14ac:dyDescent="0.2">
      <c r="A521" s="555" t="s">
        <v>508</v>
      </c>
      <c r="N521" s="904">
        <v>24</v>
      </c>
      <c r="O521" s="557" t="s">
        <v>479</v>
      </c>
      <c r="P521" s="570"/>
      <c r="Q521" s="570"/>
      <c r="R521" s="570"/>
      <c r="S521" s="570"/>
      <c r="T521" s="570"/>
      <c r="U521" s="570"/>
      <c r="V521" s="570"/>
      <c r="W521" s="570"/>
      <c r="X521" s="570"/>
      <c r="Y521" s="570"/>
    </row>
    <row r="522" spans="1:25" x14ac:dyDescent="0.2">
      <c r="A522" s="555" t="s">
        <v>509</v>
      </c>
      <c r="N522" s="904">
        <v>25</v>
      </c>
      <c r="O522" s="557" t="s">
        <v>479</v>
      </c>
      <c r="P522" s="570"/>
      <c r="Q522" s="570"/>
      <c r="R522" s="570"/>
      <c r="S522" s="570"/>
      <c r="T522" s="570"/>
      <c r="U522" s="570"/>
      <c r="V522" s="570"/>
      <c r="W522" s="570"/>
      <c r="X522" s="570"/>
      <c r="Y522" s="570"/>
    </row>
    <row r="523" spans="1:25" x14ac:dyDescent="0.2">
      <c r="A523" s="555" t="s">
        <v>510</v>
      </c>
      <c r="N523" s="904">
        <v>26</v>
      </c>
      <c r="O523" s="557" t="s">
        <v>479</v>
      </c>
      <c r="P523" s="570"/>
      <c r="Q523" s="570"/>
      <c r="R523" s="570"/>
      <c r="S523" s="570"/>
      <c r="T523" s="570"/>
      <c r="U523" s="570"/>
      <c r="V523" s="570"/>
      <c r="W523" s="570"/>
      <c r="X523" s="570"/>
      <c r="Y523" s="570"/>
    </row>
    <row r="524" spans="1:25" x14ac:dyDescent="0.2">
      <c r="A524" s="555" t="s">
        <v>511</v>
      </c>
      <c r="N524" s="904">
        <v>27</v>
      </c>
      <c r="O524" s="557" t="s">
        <v>479</v>
      </c>
      <c r="P524" s="570"/>
      <c r="Q524" s="570"/>
      <c r="R524" s="570"/>
      <c r="S524" s="570"/>
      <c r="T524" s="570"/>
      <c r="U524" s="570"/>
      <c r="V524" s="570"/>
      <c r="W524" s="570"/>
      <c r="X524" s="570"/>
      <c r="Y524" s="570"/>
    </row>
    <row r="525" spans="1:25" x14ac:dyDescent="0.2">
      <c r="A525" s="556" t="s">
        <v>512</v>
      </c>
      <c r="N525" s="904">
        <v>28</v>
      </c>
      <c r="O525" s="557" t="s">
        <v>479</v>
      </c>
      <c r="P525" s="570"/>
      <c r="Q525" s="570"/>
      <c r="R525" s="570"/>
      <c r="S525" s="570"/>
      <c r="T525" s="570"/>
      <c r="U525" s="570"/>
      <c r="V525" s="570"/>
      <c r="W525" s="570"/>
      <c r="X525" s="570"/>
      <c r="Y525" s="570"/>
    </row>
    <row r="526" spans="1:25" x14ac:dyDescent="0.2">
      <c r="A526" s="556" t="s">
        <v>513</v>
      </c>
      <c r="N526" s="904">
        <v>29</v>
      </c>
      <c r="O526" s="557" t="s">
        <v>479</v>
      </c>
      <c r="P526" s="570"/>
      <c r="Q526" s="570"/>
      <c r="R526" s="570"/>
      <c r="S526" s="570"/>
      <c r="T526" s="570"/>
      <c r="U526" s="570"/>
      <c r="V526" s="570"/>
      <c r="W526" s="570"/>
      <c r="X526" s="570"/>
      <c r="Y526" s="570"/>
    </row>
    <row r="527" spans="1:25" x14ac:dyDescent="0.2">
      <c r="A527" s="555" t="s">
        <v>514</v>
      </c>
      <c r="N527" s="904">
        <v>30</v>
      </c>
      <c r="O527" s="557" t="s">
        <v>479</v>
      </c>
      <c r="P527" s="570"/>
      <c r="Q527" s="570"/>
      <c r="R527" s="570"/>
      <c r="S527" s="570"/>
      <c r="T527" s="570"/>
      <c r="U527" s="570"/>
      <c r="V527" s="570"/>
      <c r="W527" s="570"/>
      <c r="X527" s="570"/>
      <c r="Y527" s="570"/>
    </row>
    <row r="528" spans="1:25" x14ac:dyDescent="0.2">
      <c r="A528" s="555" t="s">
        <v>515</v>
      </c>
      <c r="N528" s="904">
        <v>31</v>
      </c>
      <c r="O528" s="557" t="s">
        <v>479</v>
      </c>
      <c r="P528" s="570"/>
      <c r="Q528" s="570"/>
      <c r="R528" s="570"/>
      <c r="S528" s="570"/>
      <c r="T528" s="570"/>
      <c r="U528" s="570"/>
      <c r="V528" s="570"/>
      <c r="W528" s="570"/>
      <c r="X528" s="570"/>
      <c r="Y528" s="570"/>
    </row>
    <row r="529" spans="1:25" x14ac:dyDescent="0.2">
      <c r="A529" s="556" t="s">
        <v>291</v>
      </c>
      <c r="N529" s="904">
        <v>32</v>
      </c>
      <c r="O529" s="557" t="s">
        <v>479</v>
      </c>
      <c r="P529" s="570"/>
      <c r="Q529" s="570"/>
      <c r="R529" s="570"/>
      <c r="S529" s="570"/>
      <c r="T529" s="570"/>
      <c r="U529" s="570"/>
      <c r="V529" s="570"/>
      <c r="W529" s="570"/>
      <c r="X529" s="570"/>
      <c r="Y529" s="570"/>
    </row>
    <row r="530" spans="1:25" x14ac:dyDescent="0.2">
      <c r="N530" s="904">
        <v>33</v>
      </c>
      <c r="O530" s="557" t="s">
        <v>479</v>
      </c>
      <c r="P530" s="570"/>
      <c r="Q530" s="570"/>
      <c r="R530" s="570"/>
      <c r="S530" s="570"/>
      <c r="T530" s="570"/>
      <c r="U530" s="570"/>
      <c r="V530" s="570"/>
      <c r="W530" s="570"/>
      <c r="X530" s="570"/>
      <c r="Y530" s="570"/>
    </row>
    <row r="531" spans="1:25" x14ac:dyDescent="0.2">
      <c r="A531" s="555" t="s">
        <v>516</v>
      </c>
      <c r="N531" s="904">
        <v>34</v>
      </c>
      <c r="O531" s="557" t="s">
        <v>479</v>
      </c>
      <c r="P531" s="570"/>
      <c r="Q531" s="570"/>
      <c r="R531" s="570"/>
      <c r="S531" s="570"/>
      <c r="T531" s="570"/>
      <c r="U531" s="570"/>
      <c r="V531" s="570"/>
      <c r="W531" s="570"/>
      <c r="X531" s="570"/>
      <c r="Y531" s="570"/>
    </row>
    <row r="532" spans="1:25" ht="13.5" thickBot="1" x14ac:dyDescent="0.25">
      <c r="N532" s="578" t="str">
        <f>VLOOKUP(N497,N498:Y531,2,FALSE)</f>
        <v>Hasil pengukuran Occlusion tertelusur ke Satuan Internasional ( SI ) melalui PT. Kaliman (LK-032-IDN)</v>
      </c>
      <c r="O532" s="570"/>
      <c r="P532" s="570"/>
      <c r="Q532" s="570"/>
      <c r="R532" s="570"/>
      <c r="S532" s="570"/>
      <c r="T532" s="570"/>
      <c r="U532" s="570"/>
      <c r="V532" s="570"/>
      <c r="W532" s="570"/>
      <c r="X532" s="570"/>
      <c r="Y532" s="570"/>
    </row>
    <row r="533" spans="1:25" x14ac:dyDescent="0.2">
      <c r="A533" s="905">
        <f>IF(PENYELIA!J64&gt;=70,1,IF(PENYELIA!J64&lt;70,2))</f>
        <v>1</v>
      </c>
      <c r="B533" s="558"/>
      <c r="C533" s="558"/>
      <c r="D533" s="558"/>
      <c r="E533" s="559"/>
      <c r="F533" s="560"/>
      <c r="G533" s="560"/>
      <c r="H533" s="560"/>
      <c r="I533" s="560"/>
    </row>
    <row r="534" spans="1:25" x14ac:dyDescent="0.2">
      <c r="A534" s="528"/>
      <c r="B534" s="529"/>
      <c r="C534" s="529"/>
      <c r="D534" s="529"/>
      <c r="E534" s="561"/>
      <c r="F534" s="529"/>
      <c r="G534" s="529"/>
      <c r="H534" s="529"/>
      <c r="I534" s="529"/>
    </row>
    <row r="535" spans="1:25" x14ac:dyDescent="0.2">
      <c r="A535" s="1451">
        <f>A533</f>
        <v>1</v>
      </c>
      <c r="B535" s="1452"/>
      <c r="C535" s="1452"/>
      <c r="D535" s="1452"/>
      <c r="E535" s="1453"/>
      <c r="F535" s="907"/>
      <c r="G535" s="907"/>
      <c r="H535" s="907"/>
      <c r="I535" s="907"/>
    </row>
    <row r="536" spans="1:25" x14ac:dyDescent="0.2">
      <c r="A536" s="903">
        <v>1</v>
      </c>
      <c r="B536" s="908" t="s">
        <v>517</v>
      </c>
      <c r="C536" s="906"/>
      <c r="D536" s="909"/>
      <c r="E536" s="910">
        <v>1</v>
      </c>
      <c r="F536" s="907"/>
      <c r="G536" s="907"/>
      <c r="H536" s="907"/>
      <c r="I536" s="907"/>
    </row>
    <row r="537" spans="1:25" x14ac:dyDescent="0.2">
      <c r="A537" s="903">
        <v>2</v>
      </c>
      <c r="B537" s="908" t="s">
        <v>518</v>
      </c>
      <c r="C537" s="906"/>
      <c r="D537" s="909"/>
      <c r="E537" s="910">
        <v>2</v>
      </c>
      <c r="F537" s="907"/>
      <c r="G537" s="907"/>
      <c r="H537" s="907"/>
      <c r="I537" s="907"/>
    </row>
    <row r="538" spans="1:25" ht="13.5" thickBot="1" x14ac:dyDescent="0.25">
      <c r="A538" s="1437" t="str">
        <f>VLOOKUP(A535,A536:E537,2,FALSE)</f>
        <v>Nomor Sertifikat : 29 /</v>
      </c>
      <c r="B538" s="1438"/>
      <c r="C538" s="1438"/>
      <c r="D538" s="1438"/>
      <c r="E538" s="1439"/>
      <c r="F538" s="907"/>
      <c r="G538" s="907"/>
      <c r="H538" s="907"/>
      <c r="I538" s="907"/>
    </row>
    <row r="539" spans="1:25" ht="13.5" thickBot="1" x14ac:dyDescent="0.25">
      <c r="A539" s="1440">
        <f>VLOOKUP(A535,A536:E537,5,FALSE)</f>
        <v>1</v>
      </c>
      <c r="B539" s="1441"/>
      <c r="C539" s="1441"/>
      <c r="D539" s="1441"/>
      <c r="E539" s="1442"/>
      <c r="F539" s="907"/>
      <c r="G539" s="907"/>
      <c r="H539" s="907"/>
      <c r="I539" s="907"/>
    </row>
    <row r="540" spans="1:25" ht="13.5" thickBot="1" x14ac:dyDescent="0.25">
      <c r="A540" s="907"/>
      <c r="B540" s="911"/>
      <c r="C540" s="911"/>
      <c r="D540" s="907"/>
      <c r="E540" s="907"/>
      <c r="F540" s="907"/>
      <c r="G540" s="907"/>
      <c r="H540" s="907"/>
      <c r="I540" s="907"/>
    </row>
    <row r="541" spans="1:25" ht="13.5" thickBot="1" x14ac:dyDescent="0.25">
      <c r="A541" s="1443">
        <f>A539</f>
        <v>1</v>
      </c>
      <c r="B541" s="1444"/>
      <c r="C541" s="1444"/>
      <c r="D541" s="1444"/>
      <c r="E541" s="1444"/>
      <c r="F541" s="1444"/>
      <c r="G541" s="1444"/>
      <c r="H541" s="1444"/>
      <c r="I541" s="1445"/>
    </row>
    <row r="542" spans="1:25" x14ac:dyDescent="0.2">
      <c r="A542" s="913">
        <v>1</v>
      </c>
      <c r="B542" s="914" t="s">
        <v>519</v>
      </c>
      <c r="C542" s="915"/>
      <c r="D542" s="916"/>
      <c r="E542" s="916"/>
      <c r="F542" s="916"/>
      <c r="G542" s="916"/>
      <c r="H542" s="916"/>
      <c r="I542" s="917"/>
    </row>
    <row r="543" spans="1:25" ht="13.5" thickBot="1" x14ac:dyDescent="0.25">
      <c r="A543" s="918">
        <v>2</v>
      </c>
      <c r="B543" s="919" t="s">
        <v>520</v>
      </c>
      <c r="C543" s="920"/>
      <c r="D543" s="921"/>
      <c r="E543" s="921"/>
      <c r="F543" s="921"/>
      <c r="G543" s="921"/>
      <c r="H543" s="921"/>
      <c r="I543" s="922"/>
    </row>
    <row r="544" spans="1:25" ht="13.5" thickBot="1" x14ac:dyDescent="0.25">
      <c r="A544" s="923" t="str">
        <f>VLOOKUP(A541,A542:G543,2,FALSE)</f>
        <v>Alat yang dikalibrasi dalam batas toleransi dan dinyatakan LAIK PAKAI, dimana hasil atau skor akhir sama dengan atau melampaui 70% berdasarkan Keputusan Direktur Jenderal Pelayanan Kesehatan No : HK.02.02/V/0412/2020.</v>
      </c>
      <c r="B544" s="912"/>
      <c r="C544" s="912"/>
      <c r="D544" s="924"/>
      <c r="E544" s="924"/>
      <c r="F544" s="924"/>
      <c r="G544" s="924"/>
      <c r="H544" s="924"/>
      <c r="I544" s="925"/>
    </row>
    <row r="546" spans="1:15" ht="13.5" thickBot="1" x14ac:dyDescent="0.25">
      <c r="G546" s="526"/>
      <c r="L546" s="1429"/>
      <c r="M546" s="1429"/>
      <c r="N546" s="526"/>
      <c r="O546" s="526"/>
    </row>
    <row r="547" spans="1:15" x14ac:dyDescent="0.2">
      <c r="A547" s="1345">
        <v>1</v>
      </c>
      <c r="B547" s="1345"/>
      <c r="C547" s="721"/>
      <c r="D547" s="1345">
        <v>2</v>
      </c>
      <c r="E547" s="1345"/>
      <c r="G547" s="562" t="s">
        <v>521</v>
      </c>
      <c r="H547" s="877"/>
      <c r="I547" s="877"/>
      <c r="J547" s="878" t="str">
        <f>VLOOKUP(H548,I548:K553,2,FALSE)</f>
        <v>10.00</v>
      </c>
      <c r="K547" s="879" t="str">
        <f>VLOOKUP(H548,I548:K553,3,FALSE)</f>
        <v>50.00</v>
      </c>
      <c r="L547" s="456"/>
      <c r="M547" s="456"/>
      <c r="N547" s="456"/>
      <c r="O547" s="456"/>
    </row>
    <row r="548" spans="1:15" x14ac:dyDescent="0.2">
      <c r="A548" s="563" t="s">
        <v>291</v>
      </c>
      <c r="B548" s="563" t="s">
        <v>291</v>
      </c>
      <c r="D548" s="563" t="s">
        <v>291</v>
      </c>
      <c r="E548" s="564" t="s">
        <v>291</v>
      </c>
      <c r="G548" s="880">
        <f>ID!D34</f>
        <v>10</v>
      </c>
      <c r="H548" s="1431">
        <f>ID!E7</f>
        <v>0.01</v>
      </c>
      <c r="I548" s="453" t="str">
        <f>B548</f>
        <v>-</v>
      </c>
      <c r="J548" s="454" t="s">
        <v>291</v>
      </c>
      <c r="K548" s="565" t="s">
        <v>291</v>
      </c>
      <c r="L548" s="1430"/>
      <c r="M548" s="566"/>
      <c r="N548" s="566"/>
      <c r="O548" s="566"/>
    </row>
    <row r="549" spans="1:15" x14ac:dyDescent="0.2">
      <c r="A549" s="567" t="s">
        <v>522</v>
      </c>
      <c r="B549" s="567">
        <v>1</v>
      </c>
      <c r="D549" s="567" t="s">
        <v>125</v>
      </c>
      <c r="E549" s="570"/>
      <c r="G549" s="880">
        <f>ID!D35</f>
        <v>50</v>
      </c>
      <c r="H549" s="1431"/>
      <c r="I549" s="453">
        <f>B549</f>
        <v>1</v>
      </c>
      <c r="J549" s="453" t="str">
        <f>TEXT($G$548,"0")</f>
        <v>10</v>
      </c>
      <c r="K549" s="881" t="str">
        <f>TEXT($G$549,"0")</f>
        <v>50</v>
      </c>
      <c r="L549" s="1430"/>
      <c r="M549" s="526"/>
      <c r="N549" s="456"/>
      <c r="O549" s="456"/>
    </row>
    <row r="550" spans="1:15" x14ac:dyDescent="0.2">
      <c r="A550" s="567" t="s">
        <v>523</v>
      </c>
      <c r="B550" s="567">
        <v>0.1</v>
      </c>
      <c r="D550" s="567" t="s">
        <v>524</v>
      </c>
      <c r="E550" s="570"/>
      <c r="G550" s="880"/>
      <c r="H550" s="1431"/>
      <c r="I550" s="453">
        <f>B550</f>
        <v>0.1</v>
      </c>
      <c r="J550" s="453" t="str">
        <f>TEXT($G$548,"0.0")</f>
        <v>10.0</v>
      </c>
      <c r="K550" s="881" t="str">
        <f>TEXT($G$549,"0.0")</f>
        <v>50.0</v>
      </c>
      <c r="L550" s="1430"/>
      <c r="M550" s="526"/>
      <c r="N550" s="456"/>
      <c r="O550" s="456"/>
    </row>
    <row r="551" spans="1:15" x14ac:dyDescent="0.2">
      <c r="A551" s="567" t="s">
        <v>525</v>
      </c>
      <c r="B551" s="567">
        <v>0.05</v>
      </c>
      <c r="D551" s="567"/>
      <c r="E551" s="570"/>
      <c r="G551" s="880"/>
      <c r="H551" s="1431"/>
      <c r="I551" s="453">
        <f>B551</f>
        <v>0.05</v>
      </c>
      <c r="J551" s="453" t="str">
        <f>TEXT($G$548,"0.00")</f>
        <v>10.00</v>
      </c>
      <c r="K551" s="881" t="str">
        <f>TEXT($G$549,"0.00")</f>
        <v>50.00</v>
      </c>
      <c r="L551" s="1430"/>
      <c r="M551" s="526"/>
      <c r="N551" s="456"/>
      <c r="O551" s="456"/>
    </row>
    <row r="552" spans="1:15" ht="13.5" thickBot="1" x14ac:dyDescent="0.25">
      <c r="A552" s="567" t="s">
        <v>123</v>
      </c>
      <c r="B552" s="567">
        <v>0.01</v>
      </c>
      <c r="D552" s="567"/>
      <c r="E552" s="570"/>
      <c r="G552" s="882"/>
      <c r="H552" s="1432"/>
      <c r="I552" s="883">
        <f>B552</f>
        <v>0.01</v>
      </c>
      <c r="J552" s="883" t="str">
        <f>TEXT($G$548,"0.00")</f>
        <v>10.00</v>
      </c>
      <c r="K552" s="884" t="str">
        <f>TEXT($G$549,"0.00")</f>
        <v>50.00</v>
      </c>
      <c r="L552" s="1430"/>
      <c r="M552" s="526"/>
      <c r="N552" s="456"/>
      <c r="O552" s="456"/>
    </row>
    <row r="553" spans="1:15" x14ac:dyDescent="0.2">
      <c r="A553" s="567"/>
      <c r="B553" s="570"/>
      <c r="D553" s="567"/>
      <c r="E553" s="570"/>
      <c r="G553" s="562" t="s">
        <v>521</v>
      </c>
      <c r="H553" s="885"/>
      <c r="I553" s="885"/>
      <c r="J553" s="878" t="str">
        <f>VLOOKUP(H554,I554:K558,2,FALSE)</f>
        <v>100.0</v>
      </c>
      <c r="K553" s="879" t="str">
        <f>VLOOKUP(H554,I554:K558,3,FALSE)</f>
        <v>500.0</v>
      </c>
      <c r="L553" s="1430"/>
      <c r="M553" s="526"/>
      <c r="N553" s="456"/>
      <c r="O553" s="456"/>
    </row>
    <row r="554" spans="1:15" x14ac:dyDescent="0.2">
      <c r="A554" s="567"/>
      <c r="B554" s="570"/>
      <c r="D554" s="567"/>
      <c r="E554" s="570"/>
      <c r="G554" s="880">
        <f>ID!D36</f>
        <v>100</v>
      </c>
      <c r="H554" s="1432">
        <f>IF(ID!E8="-",ID!E7,IF(ID!E8=ID!E8,ID!E8))</f>
        <v>0.1</v>
      </c>
      <c r="I554" s="454" t="s">
        <v>291</v>
      </c>
      <c r="J554" s="454" t="s">
        <v>291</v>
      </c>
      <c r="K554" s="565" t="s">
        <v>291</v>
      </c>
      <c r="L554" s="1430"/>
      <c r="M554" s="526"/>
      <c r="N554" s="456"/>
      <c r="O554" s="456"/>
    </row>
    <row r="555" spans="1:15" x14ac:dyDescent="0.2">
      <c r="A555" s="567"/>
      <c r="B555" s="570"/>
      <c r="D555" s="567"/>
      <c r="E555" s="570"/>
      <c r="G555" s="880">
        <f>ID!D37</f>
        <v>500</v>
      </c>
      <c r="H555" s="1433"/>
      <c r="I555" s="453">
        <v>1</v>
      </c>
      <c r="J555" s="453" t="str">
        <f>TEXT($G$554,"0")</f>
        <v>100</v>
      </c>
      <c r="K555" s="881" t="str">
        <f>TEXT($G$555,"0")</f>
        <v>500</v>
      </c>
      <c r="L555" s="1430"/>
      <c r="M555" s="526"/>
      <c r="N555" s="456"/>
      <c r="O555" s="456"/>
    </row>
    <row r="556" spans="1:15" x14ac:dyDescent="0.2">
      <c r="A556" s="520"/>
      <c r="B556" s="570"/>
      <c r="D556" s="567"/>
      <c r="E556" s="570"/>
      <c r="G556" s="880"/>
      <c r="H556" s="1433"/>
      <c r="I556" s="453">
        <v>0.1</v>
      </c>
      <c r="J556" s="453" t="str">
        <f>TEXT($G$554,"0.0")</f>
        <v>100.0</v>
      </c>
      <c r="K556" s="881" t="str">
        <f>TEXT($G$555,"0.0")</f>
        <v>500.0</v>
      </c>
      <c r="L556" s="1430"/>
      <c r="M556" s="526"/>
      <c r="N556" s="456"/>
      <c r="O556" s="456"/>
    </row>
    <row r="557" spans="1:15" x14ac:dyDescent="0.2">
      <c r="A557" s="520"/>
      <c r="B557" s="570"/>
      <c r="D557" s="567"/>
      <c r="E557" s="570"/>
      <c r="G557" s="880"/>
      <c r="H557" s="1433"/>
      <c r="I557" s="453">
        <v>0.05</v>
      </c>
      <c r="J557" s="453" t="str">
        <f>TEXT($G$554,"0.00")</f>
        <v>100.00</v>
      </c>
      <c r="K557" s="881" t="str">
        <f>TEXT($G$555,"0.00")</f>
        <v>500.00</v>
      </c>
      <c r="L557" s="1430"/>
      <c r="M557" s="526"/>
      <c r="N557" s="456"/>
      <c r="O557" s="456"/>
    </row>
    <row r="558" spans="1:15" ht="13.5" thickBot="1" x14ac:dyDescent="0.25">
      <c r="A558" s="520"/>
      <c r="B558" s="570"/>
      <c r="D558" s="567"/>
      <c r="E558" s="570"/>
      <c r="G558" s="886"/>
      <c r="H558" s="1434"/>
      <c r="I558" s="741">
        <v>0.01</v>
      </c>
      <c r="J558" s="453" t="str">
        <f>TEXT($G$554,"0.00")</f>
        <v>100.00</v>
      </c>
      <c r="K558" s="881" t="str">
        <f>TEXT($G$555,"0.00")</f>
        <v>500.00</v>
      </c>
      <c r="L558" s="1430"/>
      <c r="M558" s="526"/>
      <c r="N558" s="456"/>
      <c r="O558" s="456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F496:F520">
    <sortCondition ref="F496"/>
  </sortState>
  <mergeCells count="548">
    <mergeCell ref="H406:O406"/>
    <mergeCell ref="Q406:X406"/>
    <mergeCell ref="Q396:X398"/>
    <mergeCell ref="O2:T2"/>
    <mergeCell ref="O17:T31"/>
    <mergeCell ref="O32:T32"/>
    <mergeCell ref="O33:R33"/>
    <mergeCell ref="P34:R34"/>
    <mergeCell ref="O42:T52"/>
    <mergeCell ref="V2:AH2"/>
    <mergeCell ref="A81:M81"/>
    <mergeCell ref="G54:G80"/>
    <mergeCell ref="A83:M83"/>
    <mergeCell ref="E54:E56"/>
    <mergeCell ref="F54:F56"/>
    <mergeCell ref="A54:D54"/>
    <mergeCell ref="B55:D55"/>
    <mergeCell ref="O3:R3"/>
    <mergeCell ref="P4:R4"/>
    <mergeCell ref="O68:T82"/>
    <mergeCell ref="O53:T53"/>
    <mergeCell ref="O54:R54"/>
    <mergeCell ref="P55:R55"/>
    <mergeCell ref="O83:T83"/>
    <mergeCell ref="Z17:Z19"/>
    <mergeCell ref="AA17:AA19"/>
    <mergeCell ref="AC16:AG16"/>
    <mergeCell ref="V16:Z16"/>
    <mergeCell ref="S3:S5"/>
    <mergeCell ref="AG33:AG35"/>
    <mergeCell ref="Z3:Z5"/>
    <mergeCell ref="AG3:AG5"/>
    <mergeCell ref="T3:T5"/>
    <mergeCell ref="AA3:AA5"/>
    <mergeCell ref="AC3:AF3"/>
    <mergeCell ref="AD4:AF4"/>
    <mergeCell ref="V17:Y17"/>
    <mergeCell ref="W18:Y18"/>
    <mergeCell ref="AC17:AF17"/>
    <mergeCell ref="AD18:AF18"/>
    <mergeCell ref="V30:AH30"/>
    <mergeCell ref="AC33:AF33"/>
    <mergeCell ref="V32:AH32"/>
    <mergeCell ref="AH3:AH5"/>
    <mergeCell ref="AG17:AG19"/>
    <mergeCell ref="AH17:AH19"/>
    <mergeCell ref="AB3:AB29"/>
    <mergeCell ref="V3:Y3"/>
    <mergeCell ref="W4:Y4"/>
    <mergeCell ref="V33:Y33"/>
    <mergeCell ref="W34:Y34"/>
    <mergeCell ref="A3:D3"/>
    <mergeCell ref="B4:D4"/>
    <mergeCell ref="A17:D17"/>
    <mergeCell ref="B18:D18"/>
    <mergeCell ref="H3:K3"/>
    <mergeCell ref="I4:K4"/>
    <mergeCell ref="H17:K17"/>
    <mergeCell ref="I18:K18"/>
    <mergeCell ref="S33:S35"/>
    <mergeCell ref="T33:T35"/>
    <mergeCell ref="A2:M2"/>
    <mergeCell ref="L17:L19"/>
    <mergeCell ref="L3:L5"/>
    <mergeCell ref="E3:E5"/>
    <mergeCell ref="F3:F5"/>
    <mergeCell ref="G3:G29"/>
    <mergeCell ref="H54:K54"/>
    <mergeCell ref="I55:K55"/>
    <mergeCell ref="L43:L45"/>
    <mergeCell ref="M33:M35"/>
    <mergeCell ref="L33:L35"/>
    <mergeCell ref="A16:E16"/>
    <mergeCell ref="Z33:Z35"/>
    <mergeCell ref="AA33:AA35"/>
    <mergeCell ref="A53:M53"/>
    <mergeCell ref="V43:Y43"/>
    <mergeCell ref="W44:Y44"/>
    <mergeCell ref="V53:AH53"/>
    <mergeCell ref="V54:Y54"/>
    <mergeCell ref="W55:Y55"/>
    <mergeCell ref="AC54:AF54"/>
    <mergeCell ref="AD55:AF55"/>
    <mergeCell ref="AH33:AH35"/>
    <mergeCell ref="AH54:AH56"/>
    <mergeCell ref="AG54:AG56"/>
    <mergeCell ref="E33:E35"/>
    <mergeCell ref="F33:F35"/>
    <mergeCell ref="G33:G51"/>
    <mergeCell ref="E43:E45"/>
    <mergeCell ref="S54:S56"/>
    <mergeCell ref="AB33:AB51"/>
    <mergeCell ref="Z54:Z56"/>
    <mergeCell ref="AA54:AA56"/>
    <mergeCell ref="AD34:AF34"/>
    <mergeCell ref="AC43:AF43"/>
    <mergeCell ref="AD44:AF44"/>
    <mergeCell ref="AH68:AH70"/>
    <mergeCell ref="AA84:AA86"/>
    <mergeCell ref="AG84:AG86"/>
    <mergeCell ref="F68:F70"/>
    <mergeCell ref="L68:L70"/>
    <mergeCell ref="M68:M70"/>
    <mergeCell ref="F84:F86"/>
    <mergeCell ref="A67:E67"/>
    <mergeCell ref="H67:L67"/>
    <mergeCell ref="AC67:AG67"/>
    <mergeCell ref="V67:Z67"/>
    <mergeCell ref="AB54:AB80"/>
    <mergeCell ref="Z68:Z70"/>
    <mergeCell ref="AA68:AA70"/>
    <mergeCell ref="AG68:AG70"/>
    <mergeCell ref="V68:Y68"/>
    <mergeCell ref="W69:Y69"/>
    <mergeCell ref="AC68:AF68"/>
    <mergeCell ref="AD69:AF69"/>
    <mergeCell ref="AB84:AB102"/>
    <mergeCell ref="V81:AH81"/>
    <mergeCell ref="V83:AH83"/>
    <mergeCell ref="V82:AH82"/>
    <mergeCell ref="V84:Y84"/>
    <mergeCell ref="A93:E93"/>
    <mergeCell ref="H93:L93"/>
    <mergeCell ref="G84:G102"/>
    <mergeCell ref="E68:E70"/>
    <mergeCell ref="A68:D68"/>
    <mergeCell ref="B69:D69"/>
    <mergeCell ref="H68:K68"/>
    <mergeCell ref="I69:K69"/>
    <mergeCell ref="A84:D84"/>
    <mergeCell ref="B85:D85"/>
    <mergeCell ref="H84:K84"/>
    <mergeCell ref="I85:K85"/>
    <mergeCell ref="A94:D94"/>
    <mergeCell ref="B95:D95"/>
    <mergeCell ref="H94:K94"/>
    <mergeCell ref="I95:K95"/>
    <mergeCell ref="E84:E86"/>
    <mergeCell ref="R284:R286"/>
    <mergeCell ref="S284:S286"/>
    <mergeCell ref="I242:I245"/>
    <mergeCell ref="I212:I215"/>
    <mergeCell ref="K212:K245"/>
    <mergeCell ref="S212:S215"/>
    <mergeCell ref="H16:L16"/>
    <mergeCell ref="M43:M45"/>
    <mergeCell ref="A42:E42"/>
    <mergeCell ref="H42:L42"/>
    <mergeCell ref="E17:E19"/>
    <mergeCell ref="A30:M30"/>
    <mergeCell ref="A32:M32"/>
    <mergeCell ref="A33:D33"/>
    <mergeCell ref="B34:D34"/>
    <mergeCell ref="A43:D43"/>
    <mergeCell ref="B44:D44"/>
    <mergeCell ref="I125:I128"/>
    <mergeCell ref="A177:A210"/>
    <mergeCell ref="A142:A175"/>
    <mergeCell ref="I142:I145"/>
    <mergeCell ref="K142:K175"/>
    <mergeCell ref="S142:S145"/>
    <mergeCell ref="I147:I150"/>
    <mergeCell ref="AJ53:AV53"/>
    <mergeCell ref="AJ54:AM54"/>
    <mergeCell ref="AK55:AM55"/>
    <mergeCell ref="AQ54:AT54"/>
    <mergeCell ref="AR55:AT55"/>
    <mergeCell ref="I168:I171"/>
    <mergeCell ref="S199:S202"/>
    <mergeCell ref="I203:I206"/>
    <mergeCell ref="S203:S206"/>
    <mergeCell ref="L84:L86"/>
    <mergeCell ref="M84:M86"/>
    <mergeCell ref="S147:S150"/>
    <mergeCell ref="I151:I154"/>
    <mergeCell ref="S151:S154"/>
    <mergeCell ref="I156:I159"/>
    <mergeCell ref="S156:S159"/>
    <mergeCell ref="I160:I163"/>
    <mergeCell ref="S160:S163"/>
    <mergeCell ref="I164:I167"/>
    <mergeCell ref="S164:S167"/>
    <mergeCell ref="T84:T86"/>
    <mergeCell ref="V93:Z93"/>
    <mergeCell ref="AC93:AG93"/>
    <mergeCell ref="Z94:Z96"/>
    <mergeCell ref="AG43:AG45"/>
    <mergeCell ref="AH43:AH45"/>
    <mergeCell ref="AA43:AA45"/>
    <mergeCell ref="Z84:Z86"/>
    <mergeCell ref="F17:F19"/>
    <mergeCell ref="M17:M19"/>
    <mergeCell ref="AN3:AN5"/>
    <mergeCell ref="AO3:AO5"/>
    <mergeCell ref="F43:F45"/>
    <mergeCell ref="AN54:AN56"/>
    <mergeCell ref="AO54:AO56"/>
    <mergeCell ref="H33:K33"/>
    <mergeCell ref="I34:K34"/>
    <mergeCell ref="H43:K43"/>
    <mergeCell ref="I44:K44"/>
    <mergeCell ref="M3:M5"/>
    <mergeCell ref="AC42:AG42"/>
    <mergeCell ref="L54:L56"/>
    <mergeCell ref="M54:M56"/>
    <mergeCell ref="Z43:Z45"/>
    <mergeCell ref="T54:T56"/>
    <mergeCell ref="V42:Z42"/>
    <mergeCell ref="AJ30:AV30"/>
    <mergeCell ref="AR18:AT18"/>
    <mergeCell ref="BJ17:BJ19"/>
    <mergeCell ref="AJ2:AV2"/>
    <mergeCell ref="AJ3:AM3"/>
    <mergeCell ref="AK4:AM4"/>
    <mergeCell ref="AQ3:AT3"/>
    <mergeCell ref="AR4:AT4"/>
    <mergeCell ref="AX2:BJ2"/>
    <mergeCell ref="AU3:AU5"/>
    <mergeCell ref="AV3:AV5"/>
    <mergeCell ref="BB3:BB5"/>
    <mergeCell ref="BC3:BC5"/>
    <mergeCell ref="BI3:BI5"/>
    <mergeCell ref="BJ3:BJ5"/>
    <mergeCell ref="AN17:AN19"/>
    <mergeCell ref="AO17:AO19"/>
    <mergeCell ref="AU17:AU19"/>
    <mergeCell ref="AV17:AV19"/>
    <mergeCell ref="BB17:BB19"/>
    <mergeCell ref="BC17:BC19"/>
    <mergeCell ref="AJ17:AM17"/>
    <mergeCell ref="AK18:AM18"/>
    <mergeCell ref="AQ17:AT17"/>
    <mergeCell ref="AP3:AP29"/>
    <mergeCell ref="AJ16:AN16"/>
    <mergeCell ref="AQ16:AU16"/>
    <mergeCell ref="AX16:BB16"/>
    <mergeCell ref="AX32:BH32"/>
    <mergeCell ref="AN33:AN35"/>
    <mergeCell ref="AO33:AO35"/>
    <mergeCell ref="AU33:AU35"/>
    <mergeCell ref="AV33:AV35"/>
    <mergeCell ref="BB33:BB35"/>
    <mergeCell ref="BC33:BC35"/>
    <mergeCell ref="BE16:BI16"/>
    <mergeCell ref="BI17:BI19"/>
    <mergeCell ref="BI33:BI35"/>
    <mergeCell ref="BJ33:BJ35"/>
    <mergeCell ref="AJ32:AV32"/>
    <mergeCell ref="AK34:AM34"/>
    <mergeCell ref="AQ33:AT33"/>
    <mergeCell ref="AR34:AT34"/>
    <mergeCell ref="BD33:BD51"/>
    <mergeCell ref="AQ42:AV42"/>
    <mergeCell ref="AJ43:AM43"/>
    <mergeCell ref="AK44:AM44"/>
    <mergeCell ref="AQ43:AT43"/>
    <mergeCell ref="AR44:AT44"/>
    <mergeCell ref="AX67:BB67"/>
    <mergeCell ref="BE67:BI67"/>
    <mergeCell ref="AN68:AN70"/>
    <mergeCell ref="AO68:AO70"/>
    <mergeCell ref="AU68:AU70"/>
    <mergeCell ref="AV68:AV70"/>
    <mergeCell ref="BB68:BB70"/>
    <mergeCell ref="BC68:BC70"/>
    <mergeCell ref="BJ43:BJ45"/>
    <mergeCell ref="AX53:BH53"/>
    <mergeCell ref="AN43:AN45"/>
    <mergeCell ref="AO43:AO45"/>
    <mergeCell ref="AU43:AU45"/>
    <mergeCell ref="AV43:AV45"/>
    <mergeCell ref="BB43:BB45"/>
    <mergeCell ref="BC43:BC45"/>
    <mergeCell ref="AP33:AP51"/>
    <mergeCell ref="AJ42:AN42"/>
    <mergeCell ref="AX42:BB42"/>
    <mergeCell ref="BE42:BI42"/>
    <mergeCell ref="BI43:BI45"/>
    <mergeCell ref="AJ33:AM33"/>
    <mergeCell ref="AU54:AU56"/>
    <mergeCell ref="AV54:AV56"/>
    <mergeCell ref="BJ84:BJ86"/>
    <mergeCell ref="AJ93:AN93"/>
    <mergeCell ref="AQ93:AU93"/>
    <mergeCell ref="AX93:BB93"/>
    <mergeCell ref="BE93:BI93"/>
    <mergeCell ref="BI68:BI70"/>
    <mergeCell ref="BJ68:BJ70"/>
    <mergeCell ref="AX81:BH81"/>
    <mergeCell ref="AJ68:AM68"/>
    <mergeCell ref="AK69:AM69"/>
    <mergeCell ref="AJ81:AV81"/>
    <mergeCell ref="AP54:AP80"/>
    <mergeCell ref="AQ68:AT68"/>
    <mergeCell ref="AR69:AT69"/>
    <mergeCell ref="BF69:BH69"/>
    <mergeCell ref="AX68:BA68"/>
    <mergeCell ref="AY69:BA69"/>
    <mergeCell ref="BD54:BD80"/>
    <mergeCell ref="BB54:BB56"/>
    <mergeCell ref="BC54:BC56"/>
    <mergeCell ref="BI54:BI56"/>
    <mergeCell ref="BJ54:BJ56"/>
    <mergeCell ref="AJ67:AN67"/>
    <mergeCell ref="AQ67:AU67"/>
    <mergeCell ref="H104:H106"/>
    <mergeCell ref="M104:M105"/>
    <mergeCell ref="A104:A106"/>
    <mergeCell ref="B104:B106"/>
    <mergeCell ref="AN94:AN96"/>
    <mergeCell ref="L94:L96"/>
    <mergeCell ref="M94:M96"/>
    <mergeCell ref="E94:E96"/>
    <mergeCell ref="F94:F96"/>
    <mergeCell ref="C104:C105"/>
    <mergeCell ref="AA94:AA96"/>
    <mergeCell ref="AG94:AG96"/>
    <mergeCell ref="AH94:AH96"/>
    <mergeCell ref="AC94:AF94"/>
    <mergeCell ref="AD95:AF95"/>
    <mergeCell ref="V94:Y94"/>
    <mergeCell ref="W95:Y95"/>
    <mergeCell ref="A107:A140"/>
    <mergeCell ref="K107:K140"/>
    <mergeCell ref="S107:S110"/>
    <mergeCell ref="S112:S115"/>
    <mergeCell ref="S116:S119"/>
    <mergeCell ref="S121:S124"/>
    <mergeCell ref="S125:S128"/>
    <mergeCell ref="I129:I132"/>
    <mergeCell ref="S129:S132"/>
    <mergeCell ref="I133:I136"/>
    <mergeCell ref="S133:S136"/>
    <mergeCell ref="I137:I140"/>
    <mergeCell ref="S137:S140"/>
    <mergeCell ref="BI84:BI86"/>
    <mergeCell ref="AH84:AH86"/>
    <mergeCell ref="I221:I224"/>
    <mergeCell ref="S221:S224"/>
    <mergeCell ref="K104:K106"/>
    <mergeCell ref="L104:L106"/>
    <mergeCell ref="R104:R106"/>
    <mergeCell ref="S104:S106"/>
    <mergeCell ref="O84:R84"/>
    <mergeCell ref="P85:R85"/>
    <mergeCell ref="I116:I119"/>
    <mergeCell ref="I207:I210"/>
    <mergeCell ref="S207:S210"/>
    <mergeCell ref="AN84:AN86"/>
    <mergeCell ref="AO84:AO86"/>
    <mergeCell ref="AU84:AU86"/>
    <mergeCell ref="AV84:AV86"/>
    <mergeCell ref="BB84:BB86"/>
    <mergeCell ref="BC84:BC86"/>
    <mergeCell ref="O93:S93"/>
    <mergeCell ref="S84:S86"/>
    <mergeCell ref="W85:Y85"/>
    <mergeCell ref="AC84:AF84"/>
    <mergeCell ref="AD85:AF85"/>
    <mergeCell ref="S234:S237"/>
    <mergeCell ref="I104:I106"/>
    <mergeCell ref="S168:S171"/>
    <mergeCell ref="I172:I175"/>
    <mergeCell ref="S172:S175"/>
    <mergeCell ref="I177:I180"/>
    <mergeCell ref="K177:K210"/>
    <mergeCell ref="S177:S180"/>
    <mergeCell ref="I182:I185"/>
    <mergeCell ref="S182:S185"/>
    <mergeCell ref="I186:I189"/>
    <mergeCell ref="S186:S189"/>
    <mergeCell ref="I191:I194"/>
    <mergeCell ref="S191:S194"/>
    <mergeCell ref="I195:I198"/>
    <mergeCell ref="S195:S198"/>
    <mergeCell ref="I199:I202"/>
    <mergeCell ref="I121:I124"/>
    <mergeCell ref="I226:I229"/>
    <mergeCell ref="S226:S229"/>
    <mergeCell ref="I230:I233"/>
    <mergeCell ref="S230:S233"/>
    <mergeCell ref="I107:I110"/>
    <mergeCell ref="I112:I115"/>
    <mergeCell ref="S238:S241"/>
    <mergeCell ref="S242:S245"/>
    <mergeCell ref="A247:A280"/>
    <mergeCell ref="I247:I250"/>
    <mergeCell ref="I252:I255"/>
    <mergeCell ref="I256:I259"/>
    <mergeCell ref="I261:I264"/>
    <mergeCell ref="I265:I268"/>
    <mergeCell ref="I269:I272"/>
    <mergeCell ref="I273:I276"/>
    <mergeCell ref="I277:I280"/>
    <mergeCell ref="K247:K280"/>
    <mergeCell ref="S247:S250"/>
    <mergeCell ref="S252:S255"/>
    <mergeCell ref="S256:S259"/>
    <mergeCell ref="S261:S264"/>
    <mergeCell ref="S265:S268"/>
    <mergeCell ref="S269:S272"/>
    <mergeCell ref="S273:S276"/>
    <mergeCell ref="S277:S280"/>
    <mergeCell ref="A212:A245"/>
    <mergeCell ref="I217:I220"/>
    <mergeCell ref="S217:S220"/>
    <mergeCell ref="I234:I237"/>
    <mergeCell ref="A284:A286"/>
    <mergeCell ref="B284:B286"/>
    <mergeCell ref="C284:C285"/>
    <mergeCell ref="H284:H286"/>
    <mergeCell ref="I284:I286"/>
    <mergeCell ref="K284:K286"/>
    <mergeCell ref="L284:L286"/>
    <mergeCell ref="M284:M285"/>
    <mergeCell ref="I238:I241"/>
    <mergeCell ref="A287:A320"/>
    <mergeCell ref="I287:I290"/>
    <mergeCell ref="K287:K320"/>
    <mergeCell ref="S287:S290"/>
    <mergeCell ref="I292:I295"/>
    <mergeCell ref="S292:S295"/>
    <mergeCell ref="I296:I299"/>
    <mergeCell ref="S296:S299"/>
    <mergeCell ref="I301:I304"/>
    <mergeCell ref="S301:S304"/>
    <mergeCell ref="I305:I308"/>
    <mergeCell ref="S305:S308"/>
    <mergeCell ref="I309:I312"/>
    <mergeCell ref="S309:S312"/>
    <mergeCell ref="I313:I316"/>
    <mergeCell ref="S313:S316"/>
    <mergeCell ref="I317:I320"/>
    <mergeCell ref="S317:S320"/>
    <mergeCell ref="A322:A355"/>
    <mergeCell ref="I322:I325"/>
    <mergeCell ref="K322:K355"/>
    <mergeCell ref="S322:S325"/>
    <mergeCell ref="I327:I330"/>
    <mergeCell ref="S327:S330"/>
    <mergeCell ref="I331:I334"/>
    <mergeCell ref="S331:S334"/>
    <mergeCell ref="I336:I339"/>
    <mergeCell ref="S336:S339"/>
    <mergeCell ref="I340:I343"/>
    <mergeCell ref="S340:S343"/>
    <mergeCell ref="I344:I347"/>
    <mergeCell ref="S344:S347"/>
    <mergeCell ref="I348:I351"/>
    <mergeCell ref="S348:S351"/>
    <mergeCell ref="I352:I355"/>
    <mergeCell ref="S352:S355"/>
    <mergeCell ref="N497:Y497"/>
    <mergeCell ref="A535:E535"/>
    <mergeCell ref="O415:P415"/>
    <mergeCell ref="L416:L417"/>
    <mergeCell ref="L418:L419"/>
    <mergeCell ref="I423:K423"/>
    <mergeCell ref="AQ94:AT94"/>
    <mergeCell ref="AR95:AT95"/>
    <mergeCell ref="AP84:AP102"/>
    <mergeCell ref="D104:F105"/>
    <mergeCell ref="N104:P105"/>
    <mergeCell ref="D284:F285"/>
    <mergeCell ref="N284:P285"/>
    <mergeCell ref="F393:F394"/>
    <mergeCell ref="N393:N394"/>
    <mergeCell ref="A357:A390"/>
    <mergeCell ref="I357:I360"/>
    <mergeCell ref="I362:I365"/>
    <mergeCell ref="I366:I369"/>
    <mergeCell ref="I371:I374"/>
    <mergeCell ref="I375:I378"/>
    <mergeCell ref="I379:I382"/>
    <mergeCell ref="I383:I386"/>
    <mergeCell ref="I387:I390"/>
    <mergeCell ref="A547:B547"/>
    <mergeCell ref="D547:E547"/>
    <mergeCell ref="L546:M546"/>
    <mergeCell ref="L548:L558"/>
    <mergeCell ref="H548:H552"/>
    <mergeCell ref="H554:H558"/>
    <mergeCell ref="K357:K390"/>
    <mergeCell ref="S357:S360"/>
    <mergeCell ref="S362:S365"/>
    <mergeCell ref="S366:S369"/>
    <mergeCell ref="S371:S374"/>
    <mergeCell ref="S375:S378"/>
    <mergeCell ref="S379:S382"/>
    <mergeCell ref="S383:S386"/>
    <mergeCell ref="S387:S390"/>
    <mergeCell ref="A538:E538"/>
    <mergeCell ref="A539:E539"/>
    <mergeCell ref="A541:I541"/>
    <mergeCell ref="B392:F392"/>
    <mergeCell ref="B393:D393"/>
    <mergeCell ref="J392:N392"/>
    <mergeCell ref="J393:L393"/>
    <mergeCell ref="A458:K458"/>
    <mergeCell ref="N460:Y460"/>
    <mergeCell ref="AJ82:AV82"/>
    <mergeCell ref="AX3:BA3"/>
    <mergeCell ref="AY4:BA4"/>
    <mergeCell ref="BE3:BH3"/>
    <mergeCell ref="BF4:BH4"/>
    <mergeCell ref="AX17:BA17"/>
    <mergeCell ref="BE17:BH17"/>
    <mergeCell ref="AY18:BA18"/>
    <mergeCell ref="BF18:BH18"/>
    <mergeCell ref="AX30:BJ30"/>
    <mergeCell ref="BD3:BD29"/>
    <mergeCell ref="AX33:BA33"/>
    <mergeCell ref="AY34:BA34"/>
    <mergeCell ref="AX43:BA43"/>
    <mergeCell ref="AY44:BA44"/>
    <mergeCell ref="BE33:BH33"/>
    <mergeCell ref="BF34:BH34"/>
    <mergeCell ref="BE43:BH43"/>
    <mergeCell ref="BF44:BH44"/>
    <mergeCell ref="AX54:BA54"/>
    <mergeCell ref="AY55:BA55"/>
    <mergeCell ref="BE54:BH54"/>
    <mergeCell ref="BF55:BH55"/>
    <mergeCell ref="BE68:BH68"/>
    <mergeCell ref="AJ83:AV83"/>
    <mergeCell ref="AJ84:AM84"/>
    <mergeCell ref="AK85:AM85"/>
    <mergeCell ref="AQ84:AT84"/>
    <mergeCell ref="AR85:AT85"/>
    <mergeCell ref="AJ94:AM94"/>
    <mergeCell ref="AK95:AM95"/>
    <mergeCell ref="AX83:BJ83"/>
    <mergeCell ref="AX84:BA84"/>
    <mergeCell ref="AY85:BA85"/>
    <mergeCell ref="AX94:BA94"/>
    <mergeCell ref="AY95:BA95"/>
    <mergeCell ref="BE84:BH84"/>
    <mergeCell ref="BF85:BH85"/>
    <mergeCell ref="BE94:BH94"/>
    <mergeCell ref="BF95:BH95"/>
    <mergeCell ref="BI94:BI96"/>
    <mergeCell ref="AO94:AO96"/>
    <mergeCell ref="AU94:AU96"/>
    <mergeCell ref="AV94:AV96"/>
    <mergeCell ref="BB94:BB96"/>
    <mergeCell ref="BC94:BC96"/>
    <mergeCell ref="BD84:BD102"/>
    <mergeCell ref="BJ94:BJ96"/>
  </mergeCells>
  <pageMargins left="0.7" right="0.7" top="0.75" bottom="0.75" header="0.3" footer="0.3"/>
  <pageSetup paperSize="9" scale="26" orientation="portrait" horizontalDpi="4294967293" r:id="rId1"/>
  <colBreaks count="2" manualBreakCount="2">
    <brk id="31" max="1048575" man="1"/>
    <brk id="40" max="557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0CB5-ABDA-4B3B-8A9A-504C65AAB1D5}">
  <sheetPr codeName="Sheet8">
    <tabColor rgb="FF00B050"/>
  </sheetPr>
  <dimension ref="A1:O61"/>
  <sheetViews>
    <sheetView tabSelected="1" topLeftCell="A8" zoomScaleNormal="100" zoomScaleSheetLayoutView="90" workbookViewId="0">
      <selection activeCell="B13" sqref="B13"/>
    </sheetView>
  </sheetViews>
  <sheetFormatPr defaultColWidth="9.140625" defaultRowHeight="12.75" x14ac:dyDescent="0.2"/>
  <cols>
    <col min="1" max="1" width="18.140625" style="602" customWidth="1"/>
    <col min="2" max="2" width="26.140625" style="602" customWidth="1"/>
    <col min="3" max="3" width="3.140625" style="602" customWidth="1"/>
    <col min="4" max="4" width="11.5703125" style="602" customWidth="1"/>
    <col min="5" max="5" width="9.42578125" style="602" customWidth="1"/>
    <col min="6" max="6" width="22.5703125" style="602" customWidth="1"/>
    <col min="7" max="7" width="9.140625" style="602"/>
    <col min="8" max="8" width="18.85546875" style="602" customWidth="1"/>
    <col min="9" max="9" width="12.140625" style="602" customWidth="1"/>
    <col min="10" max="16384" width="9.140625" style="602"/>
  </cols>
  <sheetData>
    <row r="1" spans="1:15" x14ac:dyDescent="0.2">
      <c r="H1" s="1096" t="str">
        <f>IF(PENYELIA!J64&lt;70,"TIDAK LAIK","LAIK")</f>
        <v>LAIK</v>
      </c>
      <c r="I1" s="603"/>
      <c r="J1" s="603"/>
    </row>
    <row r="2" spans="1:15" ht="30" x14ac:dyDescent="0.2">
      <c r="A2" s="1284" t="str">
        <f>B46</f>
        <v>SERTIFIKAT KALIBRASI</v>
      </c>
      <c r="B2" s="1284"/>
      <c r="C2" s="1284"/>
      <c r="D2" s="1284"/>
      <c r="E2" s="1284"/>
      <c r="F2" s="1284"/>
      <c r="H2" s="604"/>
      <c r="I2" s="1285"/>
      <c r="J2" s="1286"/>
    </row>
    <row r="3" spans="1:15" ht="14.25" x14ac:dyDescent="0.2">
      <c r="A3" s="1287" t="str">
        <f>"Nomor : 29 /"&amp;" "&amp;ID!I2</f>
        <v>Nomor : 29 / 9 / III - 22 / E - 000.01 DL</v>
      </c>
      <c r="B3" s="1287"/>
      <c r="C3" s="1287"/>
      <c r="D3" s="1287"/>
      <c r="E3" s="1287"/>
      <c r="F3" s="1287"/>
    </row>
    <row r="4" spans="1:15" x14ac:dyDescent="0.2">
      <c r="C4" s="602" t="s">
        <v>250</v>
      </c>
      <c r="D4" s="1288" t="s">
        <v>251</v>
      </c>
      <c r="E4" s="1288"/>
      <c r="F4" s="1288"/>
      <c r="H4" s="605"/>
      <c r="I4" s="605"/>
      <c r="J4" s="605"/>
    </row>
    <row r="5" spans="1:15" ht="15" x14ac:dyDescent="0.25">
      <c r="H5" s="1289"/>
      <c r="I5" s="1289"/>
      <c r="J5" s="1289"/>
    </row>
    <row r="6" spans="1:15" ht="28.5" x14ac:dyDescent="0.2">
      <c r="A6" s="606" t="s">
        <v>252</v>
      </c>
      <c r="B6" s="607" t="s">
        <v>253</v>
      </c>
      <c r="C6" s="608"/>
      <c r="D6" s="1282" t="s">
        <v>254</v>
      </c>
      <c r="E6" s="1283"/>
      <c r="F6" s="609" t="str">
        <f>MID(A3,SEARCH("E - ",A3),LEN(A3))</f>
        <v>E - 000.01 DL</v>
      </c>
    </row>
    <row r="7" spans="1:15" ht="14.25" x14ac:dyDescent="0.2">
      <c r="A7" s="610"/>
      <c r="B7" s="610"/>
      <c r="C7" s="610"/>
    </row>
    <row r="8" spans="1:15" ht="14.25" x14ac:dyDescent="0.2">
      <c r="A8" s="1291" t="s">
        <v>2</v>
      </c>
      <c r="B8" s="1291"/>
      <c r="C8" s="611" t="s">
        <v>11</v>
      </c>
      <c r="D8" s="1291" t="str">
        <f>LH!E5</f>
        <v>Bbraun</v>
      </c>
      <c r="E8" s="1291"/>
      <c r="F8" s="1291"/>
      <c r="I8" s="1292"/>
      <c r="J8" s="1292"/>
    </row>
    <row r="9" spans="1:15" ht="14.25" x14ac:dyDescent="0.2">
      <c r="A9" s="1291" t="s">
        <v>255</v>
      </c>
      <c r="B9" s="1291"/>
      <c r="C9" s="611" t="s">
        <v>11</v>
      </c>
      <c r="D9" s="1291" t="str">
        <f>LH!E6</f>
        <v>B</v>
      </c>
      <c r="E9" s="1291"/>
      <c r="F9" s="1291"/>
      <c r="I9" s="1292"/>
      <c r="J9" s="1292"/>
    </row>
    <row r="10" spans="1:15" ht="15" x14ac:dyDescent="0.25">
      <c r="A10" s="1291" t="s">
        <v>256</v>
      </c>
      <c r="B10" s="1291"/>
      <c r="C10" s="611" t="s">
        <v>11</v>
      </c>
      <c r="D10" s="1291" t="str">
        <f>LH!E7</f>
        <v>C</v>
      </c>
      <c r="E10" s="1291"/>
      <c r="F10" s="1291"/>
      <c r="I10" s="1293"/>
      <c r="J10" s="1294"/>
      <c r="O10" s="612"/>
    </row>
    <row r="11" spans="1:15" s="603" customFormat="1" ht="15" hidden="1" x14ac:dyDescent="0.25">
      <c r="A11" s="1295" t="s">
        <v>257</v>
      </c>
      <c r="B11" s="1295"/>
      <c r="C11" s="613" t="s">
        <v>11</v>
      </c>
      <c r="D11"/>
      <c r="E11" s="614"/>
      <c r="F11"/>
      <c r="I11" s="616"/>
      <c r="J11" s="617"/>
      <c r="O11" s="617"/>
    </row>
    <row r="12" spans="1:15" s="603" customFormat="1" ht="15" hidden="1" x14ac:dyDescent="0.25">
      <c r="A12" s="1295" t="s">
        <v>6</v>
      </c>
      <c r="B12" s="1295"/>
      <c r="C12" s="613" t="s">
        <v>11</v>
      </c>
      <c r="D12"/>
      <c r="E12" s="618"/>
      <c r="F12" s="615"/>
      <c r="I12" s="619"/>
      <c r="J12" s="617"/>
      <c r="O12" s="617"/>
    </row>
    <row r="13" spans="1:15" ht="15" x14ac:dyDescent="0.25">
      <c r="A13" s="620"/>
      <c r="B13" s="620"/>
      <c r="C13" s="610"/>
      <c r="I13" s="1290"/>
      <c r="J13" s="1290"/>
      <c r="O13" s="612"/>
    </row>
    <row r="14" spans="1:15" ht="28.5" customHeight="1" x14ac:dyDescent="0.25">
      <c r="A14" s="621" t="s">
        <v>258</v>
      </c>
      <c r="B14" s="622"/>
      <c r="C14" s="610"/>
      <c r="D14" s="1282" t="s">
        <v>259</v>
      </c>
      <c r="E14" s="1283"/>
      <c r="F14" s="623"/>
      <c r="I14" s="1294"/>
      <c r="J14" s="1294"/>
      <c r="O14" s="612"/>
    </row>
    <row r="15" spans="1:15" ht="15" x14ac:dyDescent="0.2">
      <c r="A15" s="624"/>
      <c r="B15" s="610"/>
      <c r="C15" s="610"/>
      <c r="D15" s="610"/>
      <c r="E15" s="610"/>
      <c r="I15" s="1297"/>
      <c r="J15" s="1297"/>
    </row>
    <row r="16" spans="1:15" s="603" customFormat="1" ht="42.75" customHeight="1" x14ac:dyDescent="0.2">
      <c r="A16" s="1298" t="s">
        <v>260</v>
      </c>
      <c r="B16" s="1298"/>
      <c r="C16" s="625" t="s">
        <v>11</v>
      </c>
      <c r="D16" s="1299" t="s">
        <v>261</v>
      </c>
      <c r="E16" s="1299"/>
      <c r="F16" s="1299"/>
      <c r="H16" s="626"/>
      <c r="I16" s="1300"/>
      <c r="J16" s="1301"/>
    </row>
    <row r="17" spans="1:10" ht="15" x14ac:dyDescent="0.25">
      <c r="A17" s="1291" t="str">
        <f>"Nama Ruang "&amp;B50</f>
        <v>Nama Ruang Kalibrasi</v>
      </c>
      <c r="B17" s="1291"/>
      <c r="C17" s="611" t="s">
        <v>11</v>
      </c>
      <c r="D17" s="1302" t="str">
        <f>LH!E13</f>
        <v>E</v>
      </c>
      <c r="E17" s="1302"/>
      <c r="F17" s="1302"/>
      <c r="H17" s="1303"/>
      <c r="I17" s="1303"/>
      <c r="J17" s="1303"/>
    </row>
    <row r="18" spans="1:10" ht="15" x14ac:dyDescent="0.25">
      <c r="A18" s="1291" t="s">
        <v>10</v>
      </c>
      <c r="B18" s="1291"/>
      <c r="C18" s="611" t="s">
        <v>11</v>
      </c>
      <c r="D18" s="1296">
        <f>LH!E10</f>
        <v>44483</v>
      </c>
      <c r="E18" s="1296"/>
      <c r="F18" s="1296"/>
      <c r="H18" s="627"/>
      <c r="I18" s="627"/>
      <c r="J18" s="627"/>
    </row>
    <row r="19" spans="1:10" ht="14.25" customHeight="1" x14ac:dyDescent="0.2">
      <c r="A19" s="1291" t="str">
        <f>"Tanggal "&amp;B50</f>
        <v>Tanggal Kalibrasi</v>
      </c>
      <c r="B19" s="1291"/>
      <c r="C19" s="611" t="s">
        <v>11</v>
      </c>
      <c r="D19" s="1296">
        <f>LH!E11</f>
        <v>44483</v>
      </c>
      <c r="E19" s="1296"/>
      <c r="F19" s="1296"/>
    </row>
    <row r="20" spans="1:10" ht="14.25" x14ac:dyDescent="0.2">
      <c r="A20" s="1291" t="str">
        <f>"Penanggungjawab "&amp;B50</f>
        <v>Penanggungjawab Kalibrasi</v>
      </c>
      <c r="B20" s="1291"/>
      <c r="C20" s="611" t="s">
        <v>11</v>
      </c>
      <c r="D20" s="1291" t="str">
        <f>LH!B61</f>
        <v>Donny Martha</v>
      </c>
      <c r="E20" s="1291"/>
      <c r="F20" s="1291"/>
    </row>
    <row r="21" spans="1:10" ht="15" x14ac:dyDescent="0.25">
      <c r="A21" s="1291" t="str">
        <f>"Lokasi "&amp;B50</f>
        <v>Lokasi Kalibrasi</v>
      </c>
      <c r="B21" s="1291"/>
      <c r="C21" s="611" t="s">
        <v>11</v>
      </c>
      <c r="D21" s="1302" t="str">
        <f>LH!E12</f>
        <v>D</v>
      </c>
      <c r="E21" s="1302"/>
      <c r="F21" s="1302"/>
      <c r="H21" s="628"/>
    </row>
    <row r="22" spans="1:10" ht="31.5" customHeight="1" x14ac:dyDescent="0.2">
      <c r="A22" s="1302" t="str">
        <f>"Hasil "&amp;B50</f>
        <v>Hasil Kalibrasi</v>
      </c>
      <c r="B22" s="1302"/>
      <c r="C22" s="629" t="s">
        <v>11</v>
      </c>
      <c r="D22" s="1304" t="str">
        <f>B57</f>
        <v>Laik Pakai, disarankan untuk dikalibrasi ulang pada tanggal 14 October 2022</v>
      </c>
      <c r="E22" s="1304"/>
      <c r="F22" s="1304"/>
    </row>
    <row r="23" spans="1:10" ht="14.25" x14ac:dyDescent="0.2">
      <c r="A23" s="1291" t="s">
        <v>129</v>
      </c>
      <c r="B23" s="1291"/>
      <c r="C23" s="611" t="s">
        <v>11</v>
      </c>
      <c r="D23" s="1291" t="str">
        <f>LH!E14</f>
        <v>MK 027-18</v>
      </c>
      <c r="E23" s="1291"/>
      <c r="F23" s="1291"/>
    </row>
    <row r="26" spans="1:10" ht="26.25" customHeight="1" x14ac:dyDescent="0.2">
      <c r="D26" s="630" t="s">
        <v>262</v>
      </c>
      <c r="E26" s="1306">
        <f ca="1">TODAY()</f>
        <v>45186</v>
      </c>
      <c r="F26" s="1306"/>
    </row>
    <row r="27" spans="1:10" ht="14.25" x14ac:dyDescent="0.2">
      <c r="D27" s="1291" t="s">
        <v>263</v>
      </c>
      <c r="E27" s="1291"/>
      <c r="F27" s="1291"/>
    </row>
    <row r="28" spans="1:10" ht="14.25" x14ac:dyDescent="0.2">
      <c r="D28" s="1291" t="s">
        <v>264</v>
      </c>
      <c r="E28" s="1291"/>
      <c r="F28" s="1291"/>
    </row>
    <row r="29" spans="1:10" ht="14.25" x14ac:dyDescent="0.2">
      <c r="D29" s="631"/>
      <c r="E29" s="631"/>
    </row>
    <row r="30" spans="1:10" ht="14.25" x14ac:dyDescent="0.2">
      <c r="D30" s="631"/>
      <c r="E30" s="631"/>
    </row>
    <row r="31" spans="1:10" ht="14.25" x14ac:dyDescent="0.2">
      <c r="D31" s="631"/>
      <c r="E31" s="631"/>
    </row>
    <row r="32" spans="1:10" ht="14.25" x14ac:dyDescent="0.2">
      <c r="D32" s="1291" t="s">
        <v>265</v>
      </c>
      <c r="E32" s="1291"/>
      <c r="F32" s="1291"/>
    </row>
    <row r="33" spans="1:6" ht="15" x14ac:dyDescent="0.2">
      <c r="D33" s="1305" t="s">
        <v>266</v>
      </c>
      <c r="E33" s="1305"/>
      <c r="F33" s="1305"/>
    </row>
    <row r="36" spans="1:6" x14ac:dyDescent="0.2">
      <c r="A36" s="632"/>
      <c r="B36" s="632"/>
      <c r="C36" s="632"/>
      <c r="D36" s="632"/>
      <c r="E36" s="632"/>
      <c r="F36" s="632"/>
    </row>
    <row r="42" spans="1:6" ht="13.5" thickBot="1" x14ac:dyDescent="0.25"/>
    <row r="43" spans="1:6" ht="31.5" customHeight="1" x14ac:dyDescent="0.2">
      <c r="A43" s="633" t="s">
        <v>267</v>
      </c>
      <c r="B43" s="634" t="str">
        <f>MID(ID!I2,SEARCH("E - ",ID!I2),LEN(ID!I2))</f>
        <v>E - 000.01 DL</v>
      </c>
    </row>
    <row r="44" spans="1:6" x14ac:dyDescent="0.2">
      <c r="A44" s="635"/>
      <c r="B44" s="636"/>
    </row>
    <row r="45" spans="1:6" ht="24" customHeight="1" x14ac:dyDescent="0.2">
      <c r="A45" s="637" t="s">
        <v>268</v>
      </c>
      <c r="B45" s="638" t="str">
        <f>ID!A1</f>
        <v>Input Data Kalibrasi Infusion Pump</v>
      </c>
    </row>
    <row r="46" spans="1:6" ht="39" customHeight="1" x14ac:dyDescent="0.2">
      <c r="A46" s="637" t="s">
        <v>269</v>
      </c>
      <c r="B46" s="639" t="str">
        <f>IF(B45="INPUT DATA KALIBRASI INFUSION PUMP",B47,B48)</f>
        <v>SERTIFIKAT KALIBRASI</v>
      </c>
    </row>
    <row r="47" spans="1:6" ht="22.5" customHeight="1" x14ac:dyDescent="0.2">
      <c r="A47" s="637" t="s">
        <v>270</v>
      </c>
      <c r="B47" s="636" t="s">
        <v>271</v>
      </c>
    </row>
    <row r="48" spans="1:6" x14ac:dyDescent="0.2">
      <c r="A48" s="635"/>
      <c r="B48" s="636" t="s">
        <v>272</v>
      </c>
    </row>
    <row r="49" spans="1:2" x14ac:dyDescent="0.2">
      <c r="A49" s="635"/>
      <c r="B49" s="636"/>
    </row>
    <row r="50" spans="1:2" ht="48" customHeight="1" x14ac:dyDescent="0.2">
      <c r="A50" s="637" t="s">
        <v>273</v>
      </c>
      <c r="B50" s="636" t="str">
        <f>IF(RIGHT(A2,10)=" KALIBRASI","Kalibrasi","Pengujian")</f>
        <v>Kalibrasi</v>
      </c>
    </row>
    <row r="51" spans="1:2" x14ac:dyDescent="0.2">
      <c r="A51" s="635"/>
      <c r="B51" s="636"/>
    </row>
    <row r="52" spans="1:2" s="641" customFormat="1" ht="34.5" customHeight="1" x14ac:dyDescent="0.25">
      <c r="A52" s="637" t="s">
        <v>274</v>
      </c>
      <c r="B52" s="640" t="s">
        <v>275</v>
      </c>
    </row>
    <row r="53" spans="1:2" x14ac:dyDescent="0.2">
      <c r="A53" s="635"/>
      <c r="B53" s="636"/>
    </row>
    <row r="54" spans="1:2" ht="50.25" customHeight="1" x14ac:dyDescent="0.25">
      <c r="A54" s="642" t="s">
        <v>276</v>
      </c>
      <c r="B54" s="643">
        <f>DATE(YEAR(D19)+1,MONTH(D19),DAY(D19))</f>
        <v>44848</v>
      </c>
    </row>
    <row r="55" spans="1:2" ht="27" customHeight="1" x14ac:dyDescent="0.2">
      <c r="A55" s="637" t="s">
        <v>277</v>
      </c>
      <c r="B55" s="644" t="str">
        <f>TEXT(B54,"d mmmm yyyy")</f>
        <v>14 October 2022</v>
      </c>
    </row>
    <row r="56" spans="1:2" x14ac:dyDescent="0.2">
      <c r="A56" s="635"/>
      <c r="B56" s="636"/>
    </row>
    <row r="57" spans="1:2" ht="30" customHeight="1" x14ac:dyDescent="0.25">
      <c r="A57" s="642" t="s">
        <v>278</v>
      </c>
      <c r="B57" s="645" t="str">
        <f>IF(B46=B47,B58,B59)</f>
        <v>Laik Pakai, disarankan untuk dikalibrasi ulang pada tanggal 14 October 2022</v>
      </c>
    </row>
    <row r="58" spans="1:2" ht="45" x14ac:dyDescent="0.25">
      <c r="A58" s="635" t="s">
        <v>279</v>
      </c>
      <c r="B58" s="646" t="str">
        <f>CONCATENATE(B60,B55)</f>
        <v>Laik Pakai, disarankan untuk dikalibrasi ulang pada tanggal 14 October 2022</v>
      </c>
    </row>
    <row r="59" spans="1:2" ht="45" x14ac:dyDescent="0.25">
      <c r="A59" s="635"/>
      <c r="B59" s="646" t="str">
        <f>CONCATENATE(B61,B55)</f>
        <v>Laik Pakai, disarankan untuk diuji ulang pada tanggal 14 October 2022</v>
      </c>
    </row>
    <row r="60" spans="1:2" ht="42" customHeight="1" x14ac:dyDescent="0.25">
      <c r="A60" s="647" t="s">
        <v>270</v>
      </c>
      <c r="B60" s="646" t="s">
        <v>280</v>
      </c>
    </row>
    <row r="61" spans="1:2" ht="39.75" customHeight="1" thickBot="1" x14ac:dyDescent="0.3">
      <c r="A61" s="648"/>
      <c r="B61" s="649" t="s">
        <v>281</v>
      </c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disablePrompts="1" count="3">
    <dataValidation type="list" allowBlank="1" showInputMessage="1" showErrorMessage="1" sqref="A2:F2" xr:uid="{3EFD3AEC-C284-4212-A453-F16C58C66A65}">
      <formula1>"SERTIFIKAT KALIBRASI,SERTIFIKAT PENGUJIAN"</formula1>
    </dataValidation>
    <dataValidation type="list" allowBlank="1" showInputMessage="1" showErrorMessage="1" sqref="J11" xr:uid="{2F2355B5-B165-413C-B19D-725BFCF751C4}">
      <formula1>$M$2:$M$22</formula1>
    </dataValidation>
    <dataValidation type="list" allowBlank="1" showInputMessage="1" showErrorMessage="1" sqref="J12" xr:uid="{C87EC459-7857-4184-9206-1D610D0E3886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F4600CA-4F4B-47EA-9136-A8BE016D1F8B}">
          <x14:formula1>
            <xm:f>'D:\WORK\SOFTWARE GABUNG SERTI\Lab Optik Akustik hanyar banar\SOFTWARE OPTIC &amp; AKUSTIK\[Doppler Yankes 17.5.2021.xlsx]DB SERTIFIKAT'!#REF!</xm:f>
          </x14:formula1>
          <xm:sqref>I4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LK</vt:lpstr>
      <vt:lpstr>Riwayat Revisi</vt:lpstr>
      <vt:lpstr>UB</vt:lpstr>
      <vt:lpstr>PENYELIA</vt:lpstr>
      <vt:lpstr>ID</vt:lpstr>
      <vt:lpstr>LH</vt:lpstr>
      <vt:lpstr>DB Kelistrikan</vt:lpstr>
      <vt:lpstr>DB IDA</vt:lpstr>
      <vt:lpstr>SERTIFIKAT</vt:lpstr>
      <vt:lpstr>DB Thermohygro</vt:lpstr>
      <vt:lpstr>SCORING</vt:lpstr>
      <vt:lpstr>ID!Print_Area</vt:lpstr>
      <vt:lpstr>LH!Print_Area</vt:lpstr>
      <vt:lpstr>LK!Print_Area</vt:lpstr>
      <vt:lpstr>PENYELIA!Print_Area</vt:lpstr>
      <vt:lpstr>SCORING!Print_Area</vt:lpstr>
      <vt:lpstr>SERTIFIKAT!Print_Area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INFUSION PUMP 2018 Rev.1</dc:title>
  <dc:subject/>
  <dc:creator>FADHIL</dc:creator>
  <cp:keywords/>
  <dc:description/>
  <cp:lastModifiedBy>Ryan Rama Chaesar R</cp:lastModifiedBy>
  <cp:revision/>
  <cp:lastPrinted>2022-08-22T01:08:18Z</cp:lastPrinted>
  <dcterms:created xsi:type="dcterms:W3CDTF">2015-02-16T06:59:49Z</dcterms:created>
  <dcterms:modified xsi:type="dcterms:W3CDTF">2023-09-17T06:13:23Z</dcterms:modified>
  <cp:category>FLOW&amp;VOLUME</cp:category>
  <cp:contentStatus/>
</cp:coreProperties>
</file>